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05D" lockStructure="1"/>
  <bookViews>
    <workbookView xWindow="0" yWindow="0" windowWidth="20490" windowHeight="7770" tabRatio="823"/>
  </bookViews>
  <sheets>
    <sheet name="Sheet1" sheetId="1" r:id="rId1"/>
    <sheet name="保険料計算" sheetId="9" state="hidden" r:id="rId2"/>
    <sheet name="①給与所得" sheetId="2" state="hidden" r:id="rId3"/>
    <sheet name="②公的年金所得" sheetId="3" state="hidden" r:id="rId4"/>
    <sheet name="③軽減判定" sheetId="4" state="hidden" r:id="rId5"/>
    <sheet name="④所得割" sheetId="5" state="hidden" r:id="rId6"/>
    <sheet name="⑤平等割" sheetId="6" state="hidden" r:id="rId7"/>
    <sheet name="⑥均等割" sheetId="7" state="hidden" r:id="rId8"/>
    <sheet name="⑦賦課限度額" sheetId="8" state="hidden" r:id="rId9"/>
  </sheets>
  <definedNames>
    <definedName name="_xlnm.Print_Area" localSheetId="0">Sheet1!$A$1:$G$44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<sst xmlns="http://schemas.openxmlformats.org/spreadsheetml/2006/main" xmlns:r="http://schemas.openxmlformats.org/officeDocument/2006/relationships" count="239" uniqueCount="239">
  <si>
    <r>
      <t>＜年金所得額計算　</t>
    </r>
    <r>
      <rPr>
        <b/>
        <sz val="8"/>
        <color theme="1"/>
        <rFont val="ＭＳ Ｐゴシック"/>
      </rPr>
      <t>※年金収入に入力した年収が含まれる行の値が正しい金額となる</t>
    </r>
    <r>
      <rPr>
        <b/>
        <sz val="11"/>
        <color theme="1"/>
        <rFont val="ＭＳ Ｐゴシック"/>
      </rPr>
      <t>＞</t>
    </r>
    <rPh sb="1" eb="3">
      <t>ネンキン</t>
    </rPh>
    <rPh sb="3" eb="6">
      <t>ショトクガク</t>
    </rPh>
    <rPh sb="6" eb="8">
      <t>ケイサン</t>
    </rPh>
    <rPh sb="10" eb="12">
      <t>ネンキン</t>
    </rPh>
    <rPh sb="12" eb="14">
      <t>シュウニュウ</t>
    </rPh>
    <rPh sb="15" eb="17">
      <t>ニュウリョク</t>
    </rPh>
    <rPh sb="19" eb="21">
      <t>ネンシュウ</t>
    </rPh>
    <rPh sb="22" eb="23">
      <t>フク</t>
    </rPh>
    <rPh sb="26" eb="27">
      <t>ギョウ</t>
    </rPh>
    <rPh sb="28" eb="29">
      <t>アタイ</t>
    </rPh>
    <rPh sb="30" eb="31">
      <t>タダ</t>
    </rPh>
    <rPh sb="33" eb="35">
      <t>キンガク</t>
    </rPh>
    <phoneticPr fontId="2"/>
  </si>
  <si>
    <t>※現在は右表（現行制度）がそのまま式として入っています</t>
    <rPh sb="1" eb="3">
      <t>ゲンザイ</t>
    </rPh>
    <phoneticPr fontId="2"/>
  </si>
  <si>
    <t>世帯主</t>
    <rPh sb="0" eb="3">
      <t>セタイヌシ</t>
    </rPh>
    <phoneticPr fontId="2"/>
  </si>
  <si>
    <t>世帯員１</t>
    <rPh sb="0" eb="3">
      <t>セタイイン</t>
    </rPh>
    <phoneticPr fontId="2"/>
  </si>
  <si>
    <r>
      <t>特例軽減</t>
    </r>
    <r>
      <rPr>
        <sz val="6"/>
        <color theme="1"/>
        <rFont val="ＭＳ Ｐゴシック"/>
      </rPr>
      <t>※1</t>
    </r>
    <rPh sb="0" eb="2">
      <t>トクレイ</t>
    </rPh>
    <rPh sb="2" eb="4">
      <t>ケイゲン</t>
    </rPh>
    <phoneticPr fontId="2"/>
  </si>
  <si>
    <t>世帯員４</t>
    <rPh sb="0" eb="3">
      <t>セタイイン</t>
    </rPh>
    <phoneticPr fontId="2"/>
  </si>
  <si>
    <t>★軽減判定基準表</t>
    <rPh sb="1" eb="3">
      <t>ケイゲン</t>
    </rPh>
    <rPh sb="3" eb="5">
      <t>ハンテイ</t>
    </rPh>
    <rPh sb="5" eb="7">
      <t>キジュン</t>
    </rPh>
    <rPh sb="7" eb="8">
      <t>ヒョウ</t>
    </rPh>
    <phoneticPr fontId="2"/>
  </si>
  <si>
    <t>世帯員２</t>
    <rPh sb="0" eb="3">
      <t>セタイイン</t>
    </rPh>
    <phoneticPr fontId="2"/>
  </si>
  <si>
    <t>・・・特例軽減の割合変更が起こった場合は，</t>
    <rPh sb="3" eb="5">
      <t>トクレイ</t>
    </rPh>
    <rPh sb="5" eb="7">
      <t>ケイゲン</t>
    </rPh>
    <rPh sb="8" eb="10">
      <t>ワリアイ</t>
    </rPh>
    <rPh sb="10" eb="12">
      <t>ヘンコウ</t>
    </rPh>
    <rPh sb="13" eb="14">
      <t>オ</t>
    </rPh>
    <rPh sb="17" eb="19">
      <t>バアイ</t>
    </rPh>
    <phoneticPr fontId="2"/>
  </si>
  <si>
    <t>計算のしくみ・・計算機に入力された給与収入（C8～C13）から，１～１２の全収入範囲における所得を一旦全て算出し（G17～L28），正しい給与控除額をE（～E13に表示して給与収入から引いて，特例軽減調整して給与所得の欄（D8～D13）に表示</t>
    <rPh sb="0" eb="2">
      <t>ケイサン</t>
    </rPh>
    <rPh sb="8" eb="11">
      <t>ケイサンキ</t>
    </rPh>
    <rPh sb="12" eb="14">
      <t>ニュウリョク</t>
    </rPh>
    <rPh sb="17" eb="19">
      <t>キュウヨ</t>
    </rPh>
    <rPh sb="19" eb="21">
      <t>シュウニュウ</t>
    </rPh>
    <rPh sb="37" eb="38">
      <t>ゼン</t>
    </rPh>
    <rPh sb="38" eb="40">
      <t>シュウニュウ</t>
    </rPh>
    <rPh sb="40" eb="42">
      <t>ハンイ</t>
    </rPh>
    <rPh sb="46" eb="48">
      <t>ショトク</t>
    </rPh>
    <rPh sb="49" eb="51">
      <t>イッタン</t>
    </rPh>
    <rPh sb="51" eb="52">
      <t>スベ</t>
    </rPh>
    <rPh sb="53" eb="55">
      <t>サンシュツ</t>
    </rPh>
    <rPh sb="66" eb="67">
      <t>タダ</t>
    </rPh>
    <rPh sb="69" eb="71">
      <t>キュウヨ</t>
    </rPh>
    <rPh sb="71" eb="74">
      <t>コウジョガク</t>
    </rPh>
    <rPh sb="82" eb="84">
      <t>ヒョウジ</t>
    </rPh>
    <rPh sb="86" eb="88">
      <t>キュウヨ</t>
    </rPh>
    <rPh sb="88" eb="90">
      <t>シュウニュウ</t>
    </rPh>
    <rPh sb="92" eb="93">
      <t>ヒ</t>
    </rPh>
    <rPh sb="96" eb="98">
      <t>トクレイ</t>
    </rPh>
    <rPh sb="98" eb="100">
      <t>ケイゲン</t>
    </rPh>
    <rPh sb="100" eb="102">
      <t>チョウセイ</t>
    </rPh>
    <rPh sb="104" eb="106">
      <t>キュウヨ</t>
    </rPh>
    <rPh sb="106" eb="108">
      <t>ショトク</t>
    </rPh>
    <rPh sb="109" eb="110">
      <t>ラン</t>
    </rPh>
    <rPh sb="119" eb="121">
      <t>ヒョウジ</t>
    </rPh>
    <phoneticPr fontId="2"/>
  </si>
  <si>
    <t>世帯員３</t>
    <rPh sb="0" eb="3">
      <t>セタイイン</t>
    </rPh>
    <phoneticPr fontId="2"/>
  </si>
  <si>
    <t>月割</t>
    <rPh sb="0" eb="2">
      <t>ツキワ</t>
    </rPh>
    <phoneticPr fontId="2"/>
  </si>
  <si>
    <t>世帯員５</t>
    <rPh sb="0" eb="3">
      <t>セタイイン</t>
    </rPh>
    <phoneticPr fontId="2"/>
  </si>
  <si>
    <r>
      <t>　で囲った</t>
    </r>
    <r>
      <rPr>
        <sz val="11"/>
        <color theme="1"/>
        <rFont val="ＭＳ Ｐゴシック"/>
      </rPr>
      <t>IFの式を修正。　</t>
    </r>
    <r>
      <rPr>
        <b/>
        <sz val="14"/>
        <color theme="1"/>
        <rFont val="ＭＳ Ｐゴシック"/>
      </rPr>
      <t>ＩＦ（a,b,ｃ）＝aならbを表示，それ以外はcを表示</t>
    </r>
    <rPh sb="2" eb="3">
      <t>カコ</t>
    </rPh>
    <rPh sb="8" eb="9">
      <t>シキ</t>
    </rPh>
    <rPh sb="10" eb="12">
      <t>シュウセイ</t>
    </rPh>
    <rPh sb="29" eb="31">
      <t>ヒョウジ</t>
    </rPh>
    <rPh sb="34" eb="36">
      <t>イガイ</t>
    </rPh>
    <rPh sb="39" eb="41">
      <t>ヒョウジ</t>
    </rPh>
    <phoneticPr fontId="2"/>
  </si>
  <si>
    <t>加入者数</t>
    <rPh sb="0" eb="3">
      <t>カニュウシャ</t>
    </rPh>
    <rPh sb="3" eb="4">
      <t>スウ</t>
    </rPh>
    <phoneticPr fontId="2"/>
  </si>
  <si>
    <r>
      <t>※ROUNDDOWN</t>
    </r>
    <r>
      <rPr>
        <sz val="11"/>
        <color rgb="FF000000"/>
        <rFont val="ＭＳ Ｐゴシック"/>
      </rPr>
      <t>（</t>
    </r>
    <r>
      <rPr>
        <sz val="11"/>
        <color rgb="FF000000"/>
        <rFont val="Calibri"/>
      </rPr>
      <t>a</t>
    </r>
    <r>
      <rPr>
        <sz val="11"/>
        <color rgb="FF000000"/>
        <rFont val="ＭＳ Ｐゴシック"/>
      </rPr>
      <t>，</t>
    </r>
    <r>
      <rPr>
        <sz val="11"/>
        <color rgb="FF000000"/>
        <rFont val="Calibri"/>
      </rPr>
      <t>-3</t>
    </r>
    <r>
      <rPr>
        <sz val="11"/>
        <color rgb="FF000000"/>
        <rFont val="ＭＳ Ｐゴシック"/>
      </rPr>
      <t xml:space="preserve">）は </t>
    </r>
    <r>
      <rPr>
        <sz val="11"/>
        <color rgb="FF000000"/>
        <rFont val="Calibri"/>
      </rPr>
      <t>a</t>
    </r>
    <r>
      <rPr>
        <sz val="11"/>
        <color rgb="FF000000"/>
        <rFont val="ＭＳ Ｐゴシック"/>
      </rPr>
      <t xml:space="preserve">の値の端数調整なので気にしなくて良い                                                                                </t>
    </r>
  </si>
  <si>
    <t>医療分</t>
    <rPh sb="0" eb="2">
      <t>イリョウ</t>
    </rPh>
    <rPh sb="2" eb="3">
      <t>ブン</t>
    </rPh>
    <phoneticPr fontId="2"/>
  </si>
  <si>
    <t>★制度改正への対応　①所得計算方法の改正</t>
    <rPh sb="1" eb="3">
      <t>セイド</t>
    </rPh>
    <rPh sb="3" eb="5">
      <t>カイセイ</t>
    </rPh>
    <rPh sb="7" eb="9">
      <t>タイオウ</t>
    </rPh>
    <rPh sb="11" eb="13">
      <t>ショトク</t>
    </rPh>
    <rPh sb="13" eb="15">
      <t>ケイサン</t>
    </rPh>
    <rPh sb="15" eb="17">
      <t>ホウホウ</t>
    </rPh>
    <rPh sb="18" eb="20">
      <t>カイセイ</t>
    </rPh>
    <phoneticPr fontId="2"/>
  </si>
  <si>
    <t>決定減免額</t>
    <rPh sb="0" eb="2">
      <t>ケッテイ</t>
    </rPh>
    <rPh sb="2" eb="5">
      <t>ゲンメンガク</t>
    </rPh>
    <phoneticPr fontId="2"/>
  </si>
  <si>
    <t>・・・給与所得計算表H29.3時点　と同じ式が，</t>
    <rPh sb="3" eb="5">
      <t>キュウヨ</t>
    </rPh>
    <rPh sb="5" eb="7">
      <t>ショトク</t>
    </rPh>
    <rPh sb="7" eb="9">
      <t>ケイサン</t>
    </rPh>
    <rPh sb="9" eb="10">
      <t>ヒョウ</t>
    </rPh>
    <rPh sb="15" eb="17">
      <t>ジテン</t>
    </rPh>
    <rPh sb="19" eb="20">
      <t>オナ</t>
    </rPh>
    <rPh sb="21" eb="22">
      <t>シキ</t>
    </rPh>
    <phoneticPr fontId="2"/>
  </si>
  <si>
    <t>円</t>
    <rPh sb="0" eb="1">
      <t>エン</t>
    </rPh>
    <phoneticPr fontId="2"/>
  </si>
  <si>
    <t>生年月日</t>
    <rPh sb="0" eb="2">
      <t>セイネン</t>
    </rPh>
    <rPh sb="2" eb="4">
      <t>ガッピ</t>
    </rPh>
    <phoneticPr fontId="2"/>
  </si>
  <si>
    <t>　で囲った部分（平等割金額履歴　入力）に，当該年度の金額を入力してください。</t>
    <rPh sb="2" eb="3">
      <t>カコ</t>
    </rPh>
    <rPh sb="5" eb="7">
      <t>ブブン</t>
    </rPh>
    <rPh sb="8" eb="11">
      <t>ビョウドウワ</t>
    </rPh>
    <rPh sb="11" eb="13">
      <t>キンガク</t>
    </rPh>
    <rPh sb="13" eb="15">
      <t>リレキ</t>
    </rPh>
    <rPh sb="16" eb="18">
      <t>ニュウリョク</t>
    </rPh>
    <rPh sb="21" eb="23">
      <t>トウガイ</t>
    </rPh>
    <rPh sb="23" eb="25">
      <t>ネンド</t>
    </rPh>
    <rPh sb="27" eb="28">
      <t>ガク</t>
    </rPh>
    <rPh sb="29" eb="31">
      <t>ニュウリョク</t>
    </rPh>
    <phoneticPr fontId="2"/>
  </si>
  <si>
    <t>で囲んだ部分に入っているので，給与収入の範囲のセル及び給与控除額※２のセル（世帯主～６人目）の制度変更該当箇所を修正します</t>
    <rPh sb="1" eb="2">
      <t>カコ</t>
    </rPh>
    <rPh sb="4" eb="6">
      <t>ブブン</t>
    </rPh>
    <rPh sb="7" eb="8">
      <t>ハイ</t>
    </rPh>
    <rPh sb="15" eb="17">
      <t>キュウヨ</t>
    </rPh>
    <rPh sb="17" eb="19">
      <t>シュウニュウ</t>
    </rPh>
    <rPh sb="20" eb="22">
      <t>ハンイ</t>
    </rPh>
    <rPh sb="25" eb="26">
      <t>オヨ</t>
    </rPh>
    <rPh sb="27" eb="29">
      <t>キュウヨ</t>
    </rPh>
    <rPh sb="29" eb="32">
      <t>コウジョガク</t>
    </rPh>
    <rPh sb="38" eb="41">
      <t>セタイヌシ</t>
    </rPh>
    <rPh sb="43" eb="45">
      <t>ニンメ</t>
    </rPh>
    <rPh sb="47" eb="49">
      <t>セイド</t>
    </rPh>
    <rPh sb="49" eb="51">
      <t>ヘンコウ</t>
    </rPh>
    <rPh sb="51" eb="53">
      <t>ガイトウ</t>
    </rPh>
    <rPh sb="53" eb="55">
      <t>カショ</t>
    </rPh>
    <rPh sb="56" eb="58">
      <t>シュウセイ</t>
    </rPh>
    <phoneticPr fontId="2"/>
  </si>
  <si>
    <t>②特例軽減</t>
    <rPh sb="1" eb="3">
      <t>トクレイ</t>
    </rPh>
    <rPh sb="3" eb="5">
      <t>ケイゲン</t>
    </rPh>
    <phoneticPr fontId="2"/>
  </si>
  <si>
    <t>65歳以上判定</t>
    <rPh sb="2" eb="3">
      <t>サイ</t>
    </rPh>
    <rPh sb="3" eb="5">
      <t>イジョウ</t>
    </rPh>
    <rPh sb="5" eb="7">
      <t>ハンテイ</t>
    </rPh>
    <phoneticPr fontId="2"/>
  </si>
  <si>
    <t>で囲んだ部分に，3/10という現在の割合が入っているので，そこを任意の割合に変更します。例：２割なら2/10　3.5割なら3.5/10</t>
    <rPh sb="1" eb="2">
      <t>カコ</t>
    </rPh>
    <rPh sb="4" eb="6">
      <t>ブブン</t>
    </rPh>
    <phoneticPr fontId="2"/>
  </si>
  <si>
    <t>給与収入</t>
    <rPh sb="0" eb="2">
      <t>キュウヨ</t>
    </rPh>
    <rPh sb="2" eb="4">
      <t>シュウニュウ</t>
    </rPh>
    <phoneticPr fontId="2"/>
  </si>
  <si>
    <t>給与所得</t>
    <rPh sb="0" eb="2">
      <t>キュウヨ</t>
    </rPh>
    <rPh sb="2" eb="4">
      <t>ショトク</t>
    </rPh>
    <phoneticPr fontId="2"/>
  </si>
  <si>
    <t>給与控除額</t>
    <rPh sb="0" eb="2">
      <t>キュウヨ</t>
    </rPh>
    <rPh sb="2" eb="4">
      <t>コウジョ</t>
    </rPh>
    <rPh sb="4" eb="5">
      <t>ガク</t>
    </rPh>
    <phoneticPr fontId="2"/>
  </si>
  <si>
    <t>★制度改正への対応　①年金所得計算方法の改正･･･６５歳未満,６５歳以上の各年金収入範囲のセルと，年金所得額計算セルすべてを制度に合わせて修正します。</t>
    <rPh sb="1" eb="3">
      <t>セイド</t>
    </rPh>
    <rPh sb="3" eb="5">
      <t>カイセイ</t>
    </rPh>
    <rPh sb="7" eb="9">
      <t>タイオウ</t>
    </rPh>
    <rPh sb="11" eb="13">
      <t>ネンキン</t>
    </rPh>
    <rPh sb="13" eb="15">
      <t>ショトク</t>
    </rPh>
    <rPh sb="15" eb="17">
      <t>ケイサン</t>
    </rPh>
    <rPh sb="17" eb="19">
      <t>ホウホウ</t>
    </rPh>
    <rPh sb="20" eb="22">
      <t>カイセイ</t>
    </rPh>
    <rPh sb="27" eb="28">
      <t>サイ</t>
    </rPh>
    <rPh sb="28" eb="30">
      <t>ミマン</t>
    </rPh>
    <rPh sb="33" eb="34">
      <t>サイ</t>
    </rPh>
    <rPh sb="34" eb="36">
      <t>イジョウ</t>
    </rPh>
    <rPh sb="37" eb="38">
      <t>カク</t>
    </rPh>
    <rPh sb="38" eb="40">
      <t>ネンキン</t>
    </rPh>
    <rPh sb="40" eb="42">
      <t>シュウニュウ</t>
    </rPh>
    <rPh sb="42" eb="44">
      <t>ハンイ</t>
    </rPh>
    <rPh sb="49" eb="51">
      <t>ネンキン</t>
    </rPh>
    <rPh sb="51" eb="54">
      <t>ショトクガク</t>
    </rPh>
    <rPh sb="54" eb="56">
      <t>ケイサン</t>
    </rPh>
    <rPh sb="62" eb="64">
      <t>セイド</t>
    </rPh>
    <rPh sb="65" eb="66">
      <t>ア</t>
    </rPh>
    <rPh sb="69" eb="71">
      <t>シュウセイ</t>
    </rPh>
    <phoneticPr fontId="2"/>
  </si>
  <si>
    <t>計算用セル　</t>
    <rPh sb="0" eb="2">
      <t>ケイサン</t>
    </rPh>
    <rPh sb="2" eb="3">
      <t>ヨウ</t>
    </rPh>
    <phoneticPr fontId="2"/>
  </si>
  <si>
    <t>新元号　８年</t>
    <rPh sb="0" eb="3">
      <t>シンゲンゴウ</t>
    </rPh>
    <rPh sb="5" eb="6">
      <t>ネン</t>
    </rPh>
    <phoneticPr fontId="2"/>
  </si>
  <si>
    <t>２人目</t>
    <rPh sb="1" eb="3">
      <t>ニンメ</t>
    </rPh>
    <phoneticPr fontId="2"/>
  </si>
  <si>
    <t>新元号　１５年</t>
    <rPh sb="0" eb="3">
      <t>シンゲンゴウ</t>
    </rPh>
    <rPh sb="6" eb="7">
      <t>ネン</t>
    </rPh>
    <phoneticPr fontId="2"/>
  </si>
  <si>
    <t>★制度改正への対応　①金額の変更・・・</t>
    <rPh sb="1" eb="3">
      <t>セイド</t>
    </rPh>
    <rPh sb="3" eb="5">
      <t>カイセイ</t>
    </rPh>
    <rPh sb="7" eb="9">
      <t>タイオウ</t>
    </rPh>
    <rPh sb="11" eb="13">
      <t>キンガク</t>
    </rPh>
    <rPh sb="14" eb="16">
      <t>ヘンコウ</t>
    </rPh>
    <phoneticPr fontId="2"/>
  </si>
  <si>
    <t>賦課年度平成</t>
    <rPh sb="0" eb="2">
      <t>フカ</t>
    </rPh>
    <rPh sb="2" eb="4">
      <t>ネンド</t>
    </rPh>
    <rPh sb="4" eb="6">
      <t>ヘイセイ</t>
    </rPh>
    <phoneticPr fontId="2"/>
  </si>
  <si>
    <t>３人目</t>
    <rPh sb="1" eb="3">
      <t>ニンメ</t>
    </rPh>
    <phoneticPr fontId="2"/>
  </si>
  <si>
    <t>４人目</t>
    <rPh sb="1" eb="3">
      <t>ニンメ</t>
    </rPh>
    <phoneticPr fontId="2"/>
  </si>
  <si>
    <t>給与控除額※２</t>
    <rPh sb="0" eb="2">
      <t>キュウヨ</t>
    </rPh>
    <rPh sb="2" eb="4">
      <t>コウジョ</t>
    </rPh>
    <rPh sb="4" eb="5">
      <t>ガク</t>
    </rPh>
    <phoneticPr fontId="2"/>
  </si>
  <si>
    <r>
      <t>⇒式の意味：65歳未満なら</t>
    </r>
    <r>
      <rPr>
        <sz val="9"/>
        <color rgb="FFFF0000"/>
        <rFont val="ＭＳ Ｐゴシック"/>
      </rPr>
      <t>年金所得額（65歳未満）</t>
    </r>
    <r>
      <rPr>
        <sz val="9"/>
        <color theme="1"/>
        <rFont val="ＭＳ Ｐゴシック"/>
      </rPr>
      <t>を表示，それ以外は</t>
    </r>
    <r>
      <rPr>
        <sz val="9"/>
        <color theme="3" tint="-0.5"/>
        <rFont val="ＭＳ Ｐゴシック"/>
      </rPr>
      <t>年金所得額（65歳以上）</t>
    </r>
    <r>
      <rPr>
        <sz val="9"/>
        <color theme="1"/>
        <rFont val="ＭＳ Ｐゴシック"/>
      </rPr>
      <t>を表示</t>
    </r>
    <rPh sb="1" eb="2">
      <t>シキ</t>
    </rPh>
    <rPh sb="3" eb="5">
      <t>イミ</t>
    </rPh>
    <rPh sb="8" eb="9">
      <t>サイ</t>
    </rPh>
    <rPh sb="9" eb="11">
      <t>ミマン</t>
    </rPh>
    <rPh sb="13" eb="15">
      <t>ネンキン</t>
    </rPh>
    <rPh sb="15" eb="18">
      <t>ショトクガク</t>
    </rPh>
    <rPh sb="21" eb="22">
      <t>サイ</t>
    </rPh>
    <rPh sb="22" eb="24">
      <t>ミマン</t>
    </rPh>
    <rPh sb="26" eb="28">
      <t>ヒョウジ</t>
    </rPh>
    <rPh sb="31" eb="33">
      <t>イガイ</t>
    </rPh>
    <rPh sb="34" eb="36">
      <t>ネンキン</t>
    </rPh>
    <rPh sb="36" eb="39">
      <t>ショトクガク</t>
    </rPh>
    <rPh sb="42" eb="43">
      <t>サイ</t>
    </rPh>
    <rPh sb="43" eb="45">
      <t>イジョウ</t>
    </rPh>
    <rPh sb="47" eb="49">
      <t>ヒョウジ</t>
    </rPh>
    <phoneticPr fontId="2"/>
  </si>
  <si>
    <t>５人目</t>
    <rPh sb="1" eb="3">
      <t>ニンメ</t>
    </rPh>
    <phoneticPr fontId="2"/>
  </si>
  <si>
    <t>※1　特例軽減の場合は１が入る･･･給与所得が３割となる</t>
    <rPh sb="3" eb="5">
      <t>トクレイ</t>
    </rPh>
    <rPh sb="5" eb="7">
      <t>ケイゲン</t>
    </rPh>
    <rPh sb="8" eb="10">
      <t>バアイ</t>
    </rPh>
    <rPh sb="13" eb="14">
      <t>ハイ</t>
    </rPh>
    <rPh sb="18" eb="20">
      <t>キュウヨ</t>
    </rPh>
    <rPh sb="20" eb="22">
      <t>ショトク</t>
    </rPh>
    <rPh sb="24" eb="25">
      <t>ワリ</t>
    </rPh>
    <phoneticPr fontId="2"/>
  </si>
  <si>
    <t>６人目</t>
    <rPh sb="1" eb="3">
      <t>ニンメ</t>
    </rPh>
    <phoneticPr fontId="2"/>
  </si>
  <si>
    <t>＜平等割金額履歴　入力＞</t>
    <rPh sb="1" eb="4">
      <t>ビョウドウワ</t>
    </rPh>
    <rPh sb="4" eb="6">
      <t>キンガク</t>
    </rPh>
    <rPh sb="6" eb="8">
      <t>リレキ</t>
    </rPh>
    <rPh sb="9" eb="11">
      <t>ニュウリョク</t>
    </rPh>
    <phoneticPr fontId="2"/>
  </si>
  <si>
    <t>　で囲った部分（軽減判定基準額履歴）に，当該年度の軽減判定基準額を入力してください。</t>
    <rPh sb="2" eb="3">
      <t>カコ</t>
    </rPh>
    <rPh sb="5" eb="7">
      <t>ブブン</t>
    </rPh>
    <rPh sb="8" eb="10">
      <t>ケイゲン</t>
    </rPh>
    <rPh sb="10" eb="12">
      <t>ハンテイ</t>
    </rPh>
    <rPh sb="12" eb="14">
      <t>キジュン</t>
    </rPh>
    <rPh sb="14" eb="15">
      <t>ガク</t>
    </rPh>
    <rPh sb="15" eb="17">
      <t>リレキ</t>
    </rPh>
    <rPh sb="20" eb="22">
      <t>トウガイ</t>
    </rPh>
    <rPh sb="22" eb="24">
      <t>ネンド</t>
    </rPh>
    <rPh sb="25" eb="27">
      <t>ケイゲン</t>
    </rPh>
    <rPh sb="27" eb="29">
      <t>ハンテイ</t>
    </rPh>
    <rPh sb="29" eb="32">
      <t>キジュンガク</t>
    </rPh>
    <rPh sb="33" eb="35">
      <t>ニュウリョク</t>
    </rPh>
    <phoneticPr fontId="2"/>
  </si>
  <si>
    <t>給与収入の範囲</t>
    <rPh sb="0" eb="2">
      <t>キュウヨ</t>
    </rPh>
    <rPh sb="2" eb="4">
      <t>シュウニュウ</t>
    </rPh>
    <rPh sb="5" eb="7">
      <t>ハンイ</t>
    </rPh>
    <phoneticPr fontId="2"/>
  </si>
  <si>
    <t>・各セルには，「世帯総所得が９９９９９９９９９円以下なら左の本表から１０００円値引きする」という式が入っています</t>
    <rPh sb="1" eb="2">
      <t>カク</t>
    </rPh>
    <rPh sb="8" eb="10">
      <t>セタイ</t>
    </rPh>
    <rPh sb="10" eb="11">
      <t>ソウ</t>
    </rPh>
    <rPh sb="11" eb="13">
      <t>ショトク</t>
    </rPh>
    <rPh sb="23" eb="24">
      <t>エン</t>
    </rPh>
    <rPh sb="24" eb="26">
      <t>イカ</t>
    </rPh>
    <rPh sb="28" eb="29">
      <t>ヒダリ</t>
    </rPh>
    <rPh sb="30" eb="31">
      <t>ホン</t>
    </rPh>
    <rPh sb="31" eb="32">
      <t>ヒョウ</t>
    </rPh>
    <rPh sb="38" eb="39">
      <t>エン</t>
    </rPh>
    <rPh sb="39" eb="41">
      <t>ネビ</t>
    </rPh>
    <rPh sb="48" eb="49">
      <t>シキ</t>
    </rPh>
    <rPh sb="50" eb="51">
      <t>ハイ</t>
    </rPh>
    <phoneticPr fontId="2"/>
  </si>
  <si>
    <t>給与控除額※2</t>
    <rPh sb="0" eb="2">
      <t>キュウヨ</t>
    </rPh>
    <rPh sb="2" eb="4">
      <t>コウジョ</t>
    </rPh>
    <rPh sb="4" eb="5">
      <t>ガク</t>
    </rPh>
    <phoneticPr fontId="2"/>
  </si>
  <si>
    <t>円　　　～</t>
    <rPh sb="0" eb="1">
      <t>エン</t>
    </rPh>
    <phoneticPr fontId="2"/>
  </si>
  <si>
    <t>新制度表の説明欄をご覧ください</t>
    <rPh sb="0" eb="3">
      <t>シンセイド</t>
    </rPh>
    <rPh sb="3" eb="4">
      <t>ヒョウ</t>
    </rPh>
    <rPh sb="5" eb="7">
      <t>セツメイ</t>
    </rPh>
    <rPh sb="7" eb="8">
      <t>ラン</t>
    </rPh>
    <rPh sb="10" eb="11">
      <t>ラン</t>
    </rPh>
    <phoneticPr fontId="2"/>
  </si>
  <si>
    <t>年金所得額(65歳以上)</t>
    <rPh sb="0" eb="2">
      <t>ネンキン</t>
    </rPh>
    <rPh sb="2" eb="4">
      <t>ショトク</t>
    </rPh>
    <rPh sb="4" eb="5">
      <t>ガク</t>
    </rPh>
    <rPh sb="8" eb="9">
      <t>サイ</t>
    </rPh>
    <rPh sb="9" eb="11">
      <t>イジョウ</t>
    </rPh>
    <phoneticPr fontId="2"/>
  </si>
  <si>
    <t>・各セルには，「世帯総所得が９９９９９９９９９円以下なら左の本表から５００円値引きする」という式が入っています</t>
    <rPh sb="1" eb="2">
      <t>カク</t>
    </rPh>
    <rPh sb="8" eb="10">
      <t>セタイ</t>
    </rPh>
    <rPh sb="10" eb="11">
      <t>ソウ</t>
    </rPh>
    <rPh sb="11" eb="13">
      <t>ショトク</t>
    </rPh>
    <rPh sb="23" eb="24">
      <t>エン</t>
    </rPh>
    <rPh sb="24" eb="26">
      <t>イカ</t>
    </rPh>
    <rPh sb="28" eb="29">
      <t>ヒダリ</t>
    </rPh>
    <rPh sb="30" eb="31">
      <t>ホン</t>
    </rPh>
    <rPh sb="31" eb="32">
      <t>ヒョウ</t>
    </rPh>
    <rPh sb="37" eb="38">
      <t>エン</t>
    </rPh>
    <rPh sb="38" eb="40">
      <t>ネビ</t>
    </rPh>
    <rPh sb="47" eb="48">
      <t>シキ</t>
    </rPh>
    <rPh sb="49" eb="50">
      <t>ハイ</t>
    </rPh>
    <phoneticPr fontId="2"/>
  </si>
  <si>
    <t>　年金所得額（確定）-15万円を表示，それ以外は0円を表示。</t>
  </si>
  <si>
    <t>※2　給与控除額＝（給与収入-給与所得）</t>
    <rPh sb="3" eb="5">
      <t>キュウヨ</t>
    </rPh>
    <rPh sb="5" eb="8">
      <t>コウジョガク</t>
    </rPh>
    <phoneticPr fontId="2"/>
  </si>
  <si>
    <t>年金収入</t>
    <rPh sb="0" eb="2">
      <t>ネンキン</t>
    </rPh>
    <rPh sb="2" eb="4">
      <t>シュウニュウ</t>
    </rPh>
    <phoneticPr fontId="2"/>
  </si>
  <si>
    <t>新元号　９年</t>
    <rPh sb="0" eb="3">
      <t>シンゲンゴウ</t>
    </rPh>
    <rPh sb="5" eb="6">
      <t>ネン</t>
    </rPh>
    <phoneticPr fontId="2"/>
  </si>
  <si>
    <t>賦課平成年度</t>
    <rPh sb="0" eb="2">
      <t>フカ</t>
    </rPh>
    <rPh sb="2" eb="4">
      <t>ヘイセイ</t>
    </rPh>
    <rPh sb="4" eb="6">
      <t>ヘイネンド</t>
    </rPh>
    <phoneticPr fontId="2"/>
  </si>
  <si>
    <t>C4～9に入力した値が含まれる給与収入の範囲内に対する給与控除額が正しい控除額となっており，同じ額をE4～9に表示しています。</t>
    <rPh sb="5" eb="7">
      <t>ニュウリョク</t>
    </rPh>
    <rPh sb="9" eb="10">
      <t>アタイ</t>
    </rPh>
    <rPh sb="11" eb="12">
      <t>フク</t>
    </rPh>
    <rPh sb="15" eb="17">
      <t>キュウヨ</t>
    </rPh>
    <rPh sb="17" eb="19">
      <t>シュウニュウ</t>
    </rPh>
    <rPh sb="20" eb="23">
      <t>ハンイナイ</t>
    </rPh>
    <rPh sb="24" eb="25">
      <t>タイ</t>
    </rPh>
    <rPh sb="27" eb="29">
      <t>キュウヨ</t>
    </rPh>
    <rPh sb="29" eb="32">
      <t>コウジョガク</t>
    </rPh>
    <rPh sb="33" eb="34">
      <t>タダ</t>
    </rPh>
    <rPh sb="36" eb="38">
      <t>コウジョ</t>
    </rPh>
    <rPh sb="38" eb="39">
      <t>ガク</t>
    </rPh>
    <rPh sb="46" eb="47">
      <t>オナ</t>
    </rPh>
    <rPh sb="48" eb="49">
      <t>ガク</t>
    </rPh>
    <rPh sb="55" eb="57">
      <t>ヒョウジ</t>
    </rPh>
    <phoneticPr fontId="2"/>
  </si>
  <si>
    <t>給与収入範囲のセル(C16～C27）は制度に合わせて，給与所得計算表の給与収入範囲を丸写したものです</t>
    <rPh sb="27" eb="29">
      <t>キュウヨ</t>
    </rPh>
    <rPh sb="29" eb="31">
      <t>ショトク</t>
    </rPh>
    <rPh sb="31" eb="34">
      <t>ケイサンヒョウ</t>
    </rPh>
    <rPh sb="35" eb="37">
      <t>キュウヨ</t>
    </rPh>
    <rPh sb="37" eb="39">
      <t>シュウニュウ</t>
    </rPh>
    <rPh sb="39" eb="41">
      <t>ハンイ</t>
    </rPh>
    <rPh sb="42" eb="44">
      <t>マルウツ</t>
    </rPh>
    <phoneticPr fontId="2"/>
  </si>
  <si>
    <r>
      <t>給与控除額２</t>
    </r>
    <r>
      <rPr>
        <b/>
        <sz val="14"/>
        <color rgb="FFC00000"/>
        <rFont val="ＭＳ Ｐゴシック"/>
      </rPr>
      <t>※セル（G16～L27の範囲）は，「給与収入（セル</t>
    </r>
    <r>
      <rPr>
        <b/>
        <sz val="14"/>
        <color rgb="FFC00000"/>
        <rFont val="Calibri"/>
      </rPr>
      <t>C5</t>
    </r>
    <r>
      <rPr>
        <b/>
        <sz val="14"/>
        <color rgb="FFC00000"/>
        <rFont val="ＭＳ Ｐゴシック"/>
      </rPr>
      <t>～</t>
    </r>
    <r>
      <rPr>
        <b/>
        <sz val="14"/>
        <color rgb="FFC00000"/>
        <rFont val="Calibri"/>
      </rPr>
      <t>10</t>
    </r>
    <r>
      <rPr>
        <b/>
        <sz val="14"/>
        <color rgb="FFC00000"/>
        <rFont val="ＭＳ Ｐゴシック"/>
      </rPr>
      <t>）－給与所得の計算式」となっています</t>
    </r>
    <rPh sb="18" eb="20">
      <t>ハンイ</t>
    </rPh>
    <phoneticPr fontId="2"/>
  </si>
  <si>
    <t>年金所得額（確定）</t>
    <rPh sb="0" eb="2">
      <t>ネンキン</t>
    </rPh>
    <rPh sb="2" eb="4">
      <t>ショトク</t>
    </rPh>
    <rPh sb="4" eb="5">
      <t>ガク</t>
    </rPh>
    <rPh sb="6" eb="8">
      <t>カクテイ</t>
    </rPh>
    <phoneticPr fontId="2"/>
  </si>
  <si>
    <t>　で囲った部分を修正</t>
    <rPh sb="2" eb="3">
      <t>カコ</t>
    </rPh>
    <rPh sb="5" eb="7">
      <t>ブブン</t>
    </rPh>
    <rPh sb="8" eb="10">
      <t>シュウセイ</t>
    </rPh>
    <phoneticPr fontId="2"/>
  </si>
  <si>
    <t>減免判定額</t>
    <rPh sb="0" eb="2">
      <t>ゲンメン</t>
    </rPh>
    <rPh sb="2" eb="4">
      <t>ハンテイ</t>
    </rPh>
    <rPh sb="4" eb="5">
      <t>ガク</t>
    </rPh>
    <phoneticPr fontId="2"/>
  </si>
  <si>
    <t>②軽減判定所得の改正･･･「式の意味②」を参考に軽減判定所得の全てのセルを修正。</t>
    <rPh sb="1" eb="3">
      <t>ケイゲン</t>
    </rPh>
    <rPh sb="3" eb="5">
      <t>ハンテイ</t>
    </rPh>
    <rPh sb="5" eb="7">
      <t>ショトク</t>
    </rPh>
    <rPh sb="8" eb="10">
      <t>カイセイ</t>
    </rPh>
    <rPh sb="14" eb="15">
      <t>シキ</t>
    </rPh>
    <rPh sb="16" eb="18">
      <t>イミ</t>
    </rPh>
    <rPh sb="21" eb="23">
      <t>サンコウ</t>
    </rPh>
    <rPh sb="24" eb="26">
      <t>ケイゲン</t>
    </rPh>
    <rPh sb="26" eb="28">
      <t>ハンテイ</t>
    </rPh>
    <rPh sb="28" eb="30">
      <t>ショトク</t>
    </rPh>
    <rPh sb="31" eb="32">
      <t>スベ</t>
    </rPh>
    <rPh sb="37" eb="39">
      <t>シュウセイ</t>
    </rPh>
    <phoneticPr fontId="2"/>
  </si>
  <si>
    <t>★制度改正への対応　①基準額の変更・・・・・</t>
    <rPh sb="1" eb="3">
      <t>セイド</t>
    </rPh>
    <rPh sb="3" eb="5">
      <t>カイセイ</t>
    </rPh>
    <rPh sb="7" eb="9">
      <t>タイオウ</t>
    </rPh>
    <rPh sb="11" eb="14">
      <t>キジュンガク</t>
    </rPh>
    <rPh sb="15" eb="17">
      <t>ヘンコウ</t>
    </rPh>
    <phoneticPr fontId="2"/>
  </si>
  <si>
    <t>＜均等割計算＞</t>
    <rPh sb="1" eb="4">
      <t>キントウワリ</t>
    </rPh>
    <rPh sb="4" eb="6">
      <t>ケイサン</t>
    </rPh>
    <phoneticPr fontId="2"/>
  </si>
  <si>
    <t>賦課日</t>
    <rPh sb="0" eb="2">
      <t>フカ</t>
    </rPh>
    <rPh sb="2" eb="3">
      <t>ヒ</t>
    </rPh>
    <phoneticPr fontId="2"/>
  </si>
  <si>
    <t>令和年度</t>
    <rPh sb="0" eb="1">
      <t>レイ</t>
    </rPh>
    <rPh sb="1" eb="2">
      <t>ワ</t>
    </rPh>
    <rPh sb="2" eb="4">
      <t>ネンド</t>
    </rPh>
    <phoneticPr fontId="2"/>
  </si>
  <si>
    <t>６５歳以上　年金収入</t>
    <rPh sb="2" eb="3">
      <t>サイ</t>
    </rPh>
    <rPh sb="3" eb="5">
      <t>イジョウ</t>
    </rPh>
    <rPh sb="6" eb="8">
      <t>ネンキン</t>
    </rPh>
    <rPh sb="8" eb="10">
      <t>シュウニュウ</t>
    </rPh>
    <phoneticPr fontId="2"/>
  </si>
  <si>
    <t>軽減判定所得</t>
    <rPh sb="0" eb="2">
      <t>ケイゲン</t>
    </rPh>
    <rPh sb="2" eb="4">
      <t>ハンテイ</t>
    </rPh>
    <rPh sb="4" eb="6">
      <t>ショトク</t>
    </rPh>
    <phoneticPr fontId="2"/>
  </si>
  <si>
    <t>２人目</t>
    <rPh sb="0" eb="3">
      <t>フタリメ</t>
    </rPh>
    <phoneticPr fontId="2"/>
  </si>
  <si>
    <t>年金所得額(65歳未満)</t>
    <rPh sb="0" eb="2">
      <t>ネンキン</t>
    </rPh>
    <rPh sb="2" eb="4">
      <t>ショトク</t>
    </rPh>
    <rPh sb="4" eb="5">
      <t>ガク</t>
    </rPh>
    <rPh sb="8" eb="9">
      <t>サイ</t>
    </rPh>
    <rPh sb="9" eb="11">
      <t>ミマン</t>
    </rPh>
    <phoneticPr fontId="2"/>
  </si>
  <si>
    <r>
      <t>⇒式の意味②：65歳未満なら</t>
    </r>
    <r>
      <rPr>
        <sz val="9"/>
        <color rgb="FF0070C0"/>
        <rFont val="ＭＳ Ｐゴシック"/>
      </rPr>
      <t>年金所得額（確定</t>
    </r>
    <r>
      <rPr>
        <sz val="9"/>
        <color theme="1"/>
        <rFont val="ＭＳ Ｐゴシック"/>
      </rPr>
      <t>）を表示。それ以外は，年金所得額（確定）15万円以上なら</t>
    </r>
    <rPh sb="1" eb="2">
      <t>シキ</t>
    </rPh>
    <rPh sb="3" eb="5">
      <t>イミ</t>
    </rPh>
    <rPh sb="9" eb="10">
      <t>サイ</t>
    </rPh>
    <rPh sb="10" eb="12">
      <t>ミマン</t>
    </rPh>
    <rPh sb="24" eb="26">
      <t>ヒョウジ</t>
    </rPh>
    <rPh sb="29" eb="31">
      <t>イガイ</t>
    </rPh>
    <rPh sb="33" eb="35">
      <t>ネンキン</t>
    </rPh>
    <rPh sb="35" eb="38">
      <t>ショトクガク</t>
    </rPh>
    <rPh sb="39" eb="41">
      <t>カクテイ</t>
    </rPh>
    <rPh sb="44" eb="46">
      <t>マンエン</t>
    </rPh>
    <rPh sb="46" eb="48">
      <t>イジョウ</t>
    </rPh>
    <phoneticPr fontId="2"/>
  </si>
  <si>
    <t>　⇒</t>
  </si>
  <si>
    <t>★ＩＦ（a,b,ｃ）＝aならbを表示，それ以外はcを表示　※ＩＦを増やして（　）を増やせば複雑な条件にできる</t>
    <rPh sb="33" eb="34">
      <t>フ</t>
    </rPh>
    <rPh sb="41" eb="42">
      <t>フ</t>
    </rPh>
    <rPh sb="45" eb="47">
      <t>フクザツ</t>
    </rPh>
    <rPh sb="48" eb="50">
      <t>ジョウケン</t>
    </rPh>
    <phoneticPr fontId="2"/>
  </si>
  <si>
    <t>６５歳未満の方</t>
    <rPh sb="2" eb="3">
      <t>サイ</t>
    </rPh>
    <rPh sb="3" eb="5">
      <t>ミマン</t>
    </rPh>
    <rPh sb="6" eb="7">
      <t>カタ</t>
    </rPh>
    <phoneticPr fontId="2"/>
  </si>
  <si>
    <t>６５歳未満　年金収入</t>
    <rPh sb="2" eb="3">
      <t>サイ</t>
    </rPh>
    <rPh sb="3" eb="5">
      <t>ミマン</t>
    </rPh>
    <rPh sb="6" eb="8">
      <t>ネンキン</t>
    </rPh>
    <rPh sb="8" eb="10">
      <t>シュウニュウ</t>
    </rPh>
    <phoneticPr fontId="2"/>
  </si>
  <si>
    <t>６５歳以上の方</t>
    <rPh sb="2" eb="3">
      <t>サイ</t>
    </rPh>
    <rPh sb="3" eb="5">
      <t>イジョウ</t>
    </rPh>
    <rPh sb="6" eb="7">
      <t>カタ</t>
    </rPh>
    <phoneticPr fontId="2"/>
  </si>
  <si>
    <t>65歳未満判定</t>
    <rPh sb="2" eb="3">
      <t>サイ</t>
    </rPh>
    <rPh sb="3" eb="5">
      <t>ミマン</t>
    </rPh>
    <rPh sb="5" eb="7">
      <t>ハンテイ</t>
    </rPh>
    <phoneticPr fontId="2"/>
  </si>
  <si>
    <t>＜賦課限度額　金額履歴　入力＞</t>
    <rPh sb="1" eb="3">
      <t>フカ</t>
    </rPh>
    <rPh sb="3" eb="6">
      <t>ゲンドガク</t>
    </rPh>
    <rPh sb="7" eb="9">
      <t>キンガク</t>
    </rPh>
    <rPh sb="9" eb="11">
      <t>リレキ</t>
    </rPh>
    <rPh sb="12" eb="14">
      <t>ニュウリョク</t>
    </rPh>
    <phoneticPr fontId="2"/>
  </si>
  <si>
    <t>※新元号になっても気にせず,平成ＯＯ年に当たるか計算機タブで確認して該当箇所に入力する。</t>
    <rPh sb="20" eb="21">
      <t>ア</t>
    </rPh>
    <rPh sb="24" eb="27">
      <t>ケイサンキ</t>
    </rPh>
    <rPh sb="34" eb="36">
      <t>ガイトウ</t>
    </rPh>
    <rPh sb="36" eb="38">
      <t>カショ</t>
    </rPh>
    <phoneticPr fontId="2"/>
  </si>
  <si>
    <t>判定基準日</t>
    <rPh sb="0" eb="2">
      <t>ハンテイ</t>
    </rPh>
    <rPh sb="2" eb="5">
      <t>キジュンビ</t>
    </rPh>
    <phoneticPr fontId="2"/>
  </si>
  <si>
    <t>　・年度途中に加入者が後期高齢者医療制度に移行し，同じ世帯で残った国民健康保険の加入者が１人となる場合</t>
  </si>
  <si>
    <t>普通世帯</t>
    <rPh sb="0" eb="2">
      <t>フツウ</t>
    </rPh>
    <rPh sb="2" eb="4">
      <t>セタイ</t>
    </rPh>
    <phoneticPr fontId="2"/>
  </si>
  <si>
    <t>擬主世帯</t>
    <rPh sb="0" eb="2">
      <t>ギヌシ</t>
    </rPh>
    <rPh sb="2" eb="4">
      <t>セタイ</t>
    </rPh>
    <phoneticPr fontId="2"/>
  </si>
  <si>
    <t>擬主</t>
    <rPh sb="0" eb="2">
      <t>ギヌシ</t>
    </rPh>
    <phoneticPr fontId="2"/>
  </si>
  <si>
    <t>給与軽減所得</t>
    <rPh sb="0" eb="2">
      <t>キュウヨ</t>
    </rPh>
    <rPh sb="2" eb="4">
      <t>ケイゲン</t>
    </rPh>
    <rPh sb="4" eb="6">
      <t>ショトク</t>
    </rPh>
    <phoneticPr fontId="2"/>
  </si>
  <si>
    <t>減免額</t>
    <rPh sb="0" eb="3">
      <t>ゲンメンガク</t>
    </rPh>
    <phoneticPr fontId="2"/>
  </si>
  <si>
    <t>年金軽判所得</t>
    <rPh sb="0" eb="2">
      <t>ネンキン</t>
    </rPh>
    <rPh sb="2" eb="3">
      <t>ケイ</t>
    </rPh>
    <rPh sb="3" eb="4">
      <t>ハン</t>
    </rPh>
    <rPh sb="4" eb="6">
      <t>ショトク</t>
    </rPh>
    <phoneticPr fontId="2"/>
  </si>
  <si>
    <t>その他所得</t>
    <rPh sb="2" eb="3">
      <t>タ</t>
    </rPh>
    <rPh sb="3" eb="5">
      <t>ショトク</t>
    </rPh>
    <phoneticPr fontId="2"/>
  </si>
  <si>
    <t>＜料率履歴＞</t>
    <rPh sb="1" eb="3">
      <t>リョウリツ</t>
    </rPh>
    <rPh sb="3" eb="5">
      <t>リレキ</t>
    </rPh>
    <phoneticPr fontId="2"/>
  </si>
  <si>
    <t>給与所得＋年金所得</t>
    <rPh sb="0" eb="2">
      <t>キュウヨ</t>
    </rPh>
    <rPh sb="2" eb="4">
      <t>ショトク</t>
    </rPh>
    <rPh sb="5" eb="7">
      <t>ネンキン</t>
    </rPh>
    <rPh sb="7" eb="9">
      <t>ショトク</t>
    </rPh>
    <phoneticPr fontId="2"/>
  </si>
  <si>
    <t>適用中年度</t>
    <rPh sb="0" eb="3">
      <t>テキヨウチュウ</t>
    </rPh>
    <rPh sb="3" eb="5">
      <t>ネンド</t>
    </rPh>
    <phoneticPr fontId="2"/>
  </si>
  <si>
    <t>世帯人数</t>
    <rPh sb="0" eb="2">
      <t>セタイ</t>
    </rPh>
    <rPh sb="2" eb="4">
      <t>ニンズウ</t>
    </rPh>
    <phoneticPr fontId="2"/>
  </si>
  <si>
    <t>７割軽減</t>
    <rPh sb="1" eb="2">
      <t>ワリ</t>
    </rPh>
    <rPh sb="2" eb="4">
      <t>ケイゲン</t>
    </rPh>
    <phoneticPr fontId="2"/>
  </si>
  <si>
    <t>５割軽減</t>
    <rPh sb="1" eb="2">
      <t>ワリ</t>
    </rPh>
    <rPh sb="2" eb="4">
      <t>ケイゲン</t>
    </rPh>
    <phoneticPr fontId="2"/>
  </si>
  <si>
    <t>２割軽減</t>
    <rPh sb="1" eb="2">
      <t>ワリ</t>
    </rPh>
    <rPh sb="2" eb="4">
      <t>ケイゲン</t>
    </rPh>
    <phoneticPr fontId="2"/>
  </si>
  <si>
    <t>※収入額，所得額が異なると試算が正しく行えません。必ず確認をお願いします。</t>
    <rPh sb="1" eb="3">
      <t>シュウニュウ</t>
    </rPh>
    <rPh sb="3" eb="4">
      <t>ガク</t>
    </rPh>
    <rPh sb="5" eb="7">
      <t>ショトク</t>
    </rPh>
    <rPh sb="7" eb="8">
      <t>ガク</t>
    </rPh>
    <rPh sb="9" eb="10">
      <t>コト</t>
    </rPh>
    <rPh sb="13" eb="15">
      <t>シサン</t>
    </rPh>
    <rPh sb="16" eb="17">
      <t>タダ</t>
    </rPh>
    <rPh sb="19" eb="20">
      <t>オコナ</t>
    </rPh>
    <rPh sb="25" eb="26">
      <t>カナラ</t>
    </rPh>
    <rPh sb="27" eb="29">
      <t>カクニン</t>
    </rPh>
    <rPh sb="31" eb="32">
      <t>ネガ</t>
    </rPh>
    <phoneticPr fontId="2"/>
  </si>
  <si>
    <t>（合計）</t>
    <rPh sb="1" eb="3">
      <t>ゴウケイ</t>
    </rPh>
    <phoneticPr fontId="2"/>
  </si>
  <si>
    <t>今回判定基準</t>
    <rPh sb="0" eb="2">
      <t>コンカイ</t>
    </rPh>
    <rPh sb="2" eb="4">
      <t>ハンテイ</t>
    </rPh>
    <rPh sb="4" eb="6">
      <t>キジュン</t>
    </rPh>
    <phoneticPr fontId="2"/>
  </si>
  <si>
    <t>軽減割合</t>
    <rPh sb="0" eb="2">
      <t>ケイゲン</t>
    </rPh>
    <rPh sb="2" eb="4">
      <t>ワリアイ</t>
    </rPh>
    <phoneticPr fontId="2"/>
  </si>
  <si>
    <t>軽減割合（確定）</t>
    <rPh sb="0" eb="2">
      <t>ケイゲン</t>
    </rPh>
    <rPh sb="2" eb="4">
      <t>ワリアイ</t>
    </rPh>
    <rPh sb="5" eb="7">
      <t>カクテイ</t>
    </rPh>
    <phoneticPr fontId="2"/>
  </si>
  <si>
    <t>新元号　３年</t>
    <rPh sb="0" eb="3">
      <t>シンゲンゴウ</t>
    </rPh>
    <rPh sb="5" eb="6">
      <t>ネン</t>
    </rPh>
    <phoneticPr fontId="2"/>
  </si>
  <si>
    <t>＜軽減判定基準額履歴＞</t>
    <rPh sb="1" eb="3">
      <t>ケイゲン</t>
    </rPh>
    <rPh sb="3" eb="5">
      <t>ハンテイ</t>
    </rPh>
    <rPh sb="5" eb="8">
      <t>キジュンガク</t>
    </rPh>
    <rPh sb="8" eb="10">
      <t>リレキ</t>
    </rPh>
    <phoneticPr fontId="2"/>
  </si>
  <si>
    <t>擬制世帯</t>
    <rPh sb="0" eb="2">
      <t>ギセイ</t>
    </rPh>
    <rPh sb="2" eb="4">
      <t>セタイ</t>
    </rPh>
    <phoneticPr fontId="2"/>
  </si>
  <si>
    <t>＜結 果＞</t>
    <rPh sb="1" eb="2">
      <t>ケッ</t>
    </rPh>
    <rPh sb="3" eb="4">
      <t>ハテ</t>
    </rPh>
    <phoneticPr fontId="2"/>
  </si>
  <si>
    <t>7割</t>
    <rPh sb="1" eb="2">
      <t>ワリ</t>
    </rPh>
    <phoneticPr fontId="2"/>
  </si>
  <si>
    <t>給与控除額※3</t>
    <rPh sb="0" eb="2">
      <t>キュウヨ</t>
    </rPh>
    <rPh sb="2" eb="4">
      <t>コウジョ</t>
    </rPh>
    <rPh sb="4" eb="5">
      <t>ガク</t>
    </rPh>
    <phoneticPr fontId="2"/>
  </si>
  <si>
    <t>5割</t>
    <rPh sb="1" eb="2">
      <t>ワリ</t>
    </rPh>
    <phoneticPr fontId="2"/>
  </si>
  <si>
    <t>2割</t>
    <rPh sb="1" eb="2">
      <t>ワリ</t>
    </rPh>
    <phoneticPr fontId="2"/>
  </si>
  <si>
    <t>年度西暦</t>
    <rPh sb="0" eb="2">
      <t>ネンド</t>
    </rPh>
    <rPh sb="2" eb="4">
      <t>セイレキ</t>
    </rPh>
    <phoneticPr fontId="2"/>
  </si>
  <si>
    <t>1人</t>
    <rPh sb="1" eb="2">
      <t>ニン</t>
    </rPh>
    <phoneticPr fontId="2"/>
  </si>
  <si>
    <t>2人</t>
    <rPh sb="1" eb="2">
      <t>ニン</t>
    </rPh>
    <phoneticPr fontId="2"/>
  </si>
  <si>
    <t>3人</t>
    <rPh sb="1" eb="2">
      <t>ニン</t>
    </rPh>
    <phoneticPr fontId="2"/>
  </si>
  <si>
    <t>②新制度・・・</t>
    <rPh sb="1" eb="4">
      <t>シンセイド</t>
    </rPh>
    <phoneticPr fontId="2"/>
  </si>
  <si>
    <t>4人</t>
    <rPh sb="1" eb="2">
      <t>ニン</t>
    </rPh>
    <phoneticPr fontId="2"/>
  </si>
  <si>
    <t>新元号　１６年</t>
    <rPh sb="0" eb="3">
      <t>シンゲンゴウ</t>
    </rPh>
    <rPh sb="6" eb="7">
      <t>ネン</t>
    </rPh>
    <phoneticPr fontId="2"/>
  </si>
  <si>
    <t>5人</t>
    <rPh sb="1" eb="2">
      <t>ニン</t>
    </rPh>
    <phoneticPr fontId="2"/>
  </si>
  <si>
    <t>H26</t>
  </si>
  <si>
    <t>★制度改正への対応　①料率の変更・・・・・</t>
    <rPh sb="1" eb="3">
      <t>セイド</t>
    </rPh>
    <rPh sb="3" eb="5">
      <t>カイセイ</t>
    </rPh>
    <rPh sb="7" eb="9">
      <t>タイオウ</t>
    </rPh>
    <rPh sb="11" eb="13">
      <t>リョウリツ</t>
    </rPh>
    <rPh sb="14" eb="16">
      <t>ヘンコウ</t>
    </rPh>
    <phoneticPr fontId="2"/>
  </si>
  <si>
    <t>　で囲った部分に料率を該当平成年度に小数で入力してください。</t>
    <rPh sb="2" eb="3">
      <t>カコ</t>
    </rPh>
    <rPh sb="5" eb="7">
      <t>ブブン</t>
    </rPh>
    <rPh sb="8" eb="10">
      <t>リョウリツ</t>
    </rPh>
    <rPh sb="11" eb="13">
      <t>ガイトウ</t>
    </rPh>
    <rPh sb="13" eb="15">
      <t>ヘイセイ</t>
    </rPh>
    <rPh sb="15" eb="17">
      <t>ネンド</t>
    </rPh>
    <rPh sb="18" eb="20">
      <t>ショウスウ</t>
    </rPh>
    <rPh sb="21" eb="23">
      <t>ニュウリョク</t>
    </rPh>
    <phoneticPr fontId="2"/>
  </si>
  <si>
    <t>※新元号になっても気にせず,平成ＯＯ年か確認して該当箇所に入力する。平成３６年度以降使う場合は古い平成年度と料率を削除して再入力して使ってよい</t>
    <rPh sb="20" eb="22">
      <t>カクニン</t>
    </rPh>
    <rPh sb="24" eb="26">
      <t>ガイトウ</t>
    </rPh>
    <rPh sb="26" eb="28">
      <t>カショ</t>
    </rPh>
    <rPh sb="34" eb="36">
      <t>ヘイセイ</t>
    </rPh>
    <rPh sb="49" eb="51">
      <t>ヘイセイ</t>
    </rPh>
    <rPh sb="54" eb="56">
      <t>リョウリツ</t>
    </rPh>
    <rPh sb="61" eb="64">
      <t>サイニュウリョク</t>
    </rPh>
    <phoneticPr fontId="2"/>
  </si>
  <si>
    <t>賦課年度</t>
    <rPh sb="0" eb="2">
      <t>フカ</t>
    </rPh>
    <rPh sb="2" eb="4">
      <t>ヘイネンド</t>
    </rPh>
    <phoneticPr fontId="2"/>
  </si>
  <si>
    <t>＜料率＞</t>
    <rPh sb="1" eb="3">
      <t>リョウリツ</t>
    </rPh>
    <phoneticPr fontId="2"/>
  </si>
  <si>
    <t>医療分</t>
    <rPh sb="0" eb="3">
      <t>イリョウブン</t>
    </rPh>
    <phoneticPr fontId="2"/>
  </si>
  <si>
    <t>支援分</t>
    <rPh sb="0" eb="2">
      <t>シエン</t>
    </rPh>
    <rPh sb="2" eb="3">
      <t>ブン</t>
    </rPh>
    <phoneticPr fontId="2"/>
  </si>
  <si>
    <t>介護分</t>
    <rPh sb="0" eb="2">
      <t>カイゴ</t>
    </rPh>
    <rPh sb="2" eb="3">
      <t>ブン</t>
    </rPh>
    <phoneticPr fontId="2"/>
  </si>
  <si>
    <t>主判定</t>
    <rPh sb="0" eb="1">
      <t>シュ</t>
    </rPh>
    <rPh sb="1" eb="3">
      <t>ハンテイ</t>
    </rPh>
    <phoneticPr fontId="2"/>
  </si>
  <si>
    <t>全所得合計</t>
    <rPh sb="0" eb="1">
      <t>ゼン</t>
    </rPh>
    <rPh sb="1" eb="3">
      <t>ショトク</t>
    </rPh>
    <rPh sb="3" eb="5">
      <t>ゴウケイ</t>
    </rPh>
    <phoneticPr fontId="2"/>
  </si>
  <si>
    <t>全所得-43万円</t>
    <rPh sb="0" eb="1">
      <t>ゼン</t>
    </rPh>
    <rPh sb="1" eb="3">
      <t>ショトク</t>
    </rPh>
    <rPh sb="6" eb="7">
      <t>マン</t>
    </rPh>
    <rPh sb="7" eb="8">
      <t>エン</t>
    </rPh>
    <phoneticPr fontId="2"/>
  </si>
  <si>
    <t>所得割合計</t>
    <rPh sb="0" eb="3">
      <t>ショトクワリ</t>
    </rPh>
    <rPh sb="3" eb="5">
      <t>ゴウケイ</t>
    </rPh>
    <phoneticPr fontId="2"/>
  </si>
  <si>
    <t>平成年度</t>
    <rPh sb="0" eb="2">
      <t>ヘイセイ</t>
    </rPh>
    <rPh sb="2" eb="4">
      <t>ネンド</t>
    </rPh>
    <phoneticPr fontId="2"/>
  </si>
  <si>
    <t>新元号　元年</t>
    <rPh sb="0" eb="3">
      <t>シンゲンゴウ</t>
    </rPh>
    <rPh sb="4" eb="6">
      <t>ガンネン</t>
    </rPh>
    <phoneticPr fontId="2"/>
  </si>
  <si>
    <t>（合計)</t>
    <rPh sb="1" eb="3">
      <t>ゴウケイ</t>
    </rPh>
    <phoneticPr fontId="2"/>
  </si>
  <si>
    <t>平等割月数</t>
    <rPh sb="0" eb="3">
      <t>ビョウドウワ</t>
    </rPh>
    <rPh sb="3" eb="5">
      <t>ツキスウ</t>
    </rPh>
    <phoneticPr fontId="2"/>
  </si>
  <si>
    <t>新元号　２年</t>
    <rPh sb="0" eb="3">
      <t>シンゲンゴウ</t>
    </rPh>
    <rPh sb="5" eb="6">
      <t>ネン</t>
    </rPh>
    <phoneticPr fontId="2"/>
  </si>
  <si>
    <t>新元号　４年</t>
    <rPh sb="0" eb="3">
      <t>シンゲンゴウ</t>
    </rPh>
    <rPh sb="5" eb="6">
      <t>ネン</t>
    </rPh>
    <phoneticPr fontId="2"/>
  </si>
  <si>
    <t>新元号　５年</t>
    <rPh sb="0" eb="3">
      <t>シンゲンゴウ</t>
    </rPh>
    <rPh sb="5" eb="6">
      <t>ネン</t>
    </rPh>
    <phoneticPr fontId="2"/>
  </si>
  <si>
    <t>＜介護分必要月計算＞</t>
    <rPh sb="1" eb="3">
      <t>カイゴ</t>
    </rPh>
    <rPh sb="3" eb="4">
      <t>ブン</t>
    </rPh>
    <rPh sb="4" eb="6">
      <t>ヒツヨウ</t>
    </rPh>
    <rPh sb="6" eb="7">
      <t>ツキ</t>
    </rPh>
    <rPh sb="7" eb="9">
      <t>ケイサン</t>
    </rPh>
    <phoneticPr fontId="2"/>
  </si>
  <si>
    <t>新元号　６年</t>
    <rPh sb="0" eb="3">
      <t>シンゲンゴウ</t>
    </rPh>
    <rPh sb="5" eb="6">
      <t>ネン</t>
    </rPh>
    <phoneticPr fontId="2"/>
  </si>
  <si>
    <t>介護分月数計</t>
    <rPh sb="0" eb="2">
      <t>カイゴ</t>
    </rPh>
    <rPh sb="2" eb="3">
      <t>ブン</t>
    </rPh>
    <rPh sb="3" eb="5">
      <t>ツキスウ</t>
    </rPh>
    <rPh sb="5" eb="6">
      <t>ケイ</t>
    </rPh>
    <phoneticPr fontId="2"/>
  </si>
  <si>
    <t>※新元号になっても気にせず,平成ＯＯ年に当たるか確認して該当箇所に入力してください</t>
    <rPh sb="20" eb="21">
      <t>ア</t>
    </rPh>
    <rPh sb="24" eb="26">
      <t>カクニン</t>
    </rPh>
    <rPh sb="28" eb="30">
      <t>ガイトウ</t>
    </rPh>
    <rPh sb="30" eb="32">
      <t>カショ</t>
    </rPh>
    <phoneticPr fontId="2"/>
  </si>
  <si>
    <t>②新制度・・・・・</t>
    <rPh sb="1" eb="4">
      <t>シンセイド</t>
    </rPh>
    <phoneticPr fontId="2"/>
  </si>
  <si>
    <t>④その他の所得
（事業所得等）</t>
    <rPh sb="3" eb="4">
      <t>タ</t>
    </rPh>
    <rPh sb="5" eb="7">
      <t>ショトク</t>
    </rPh>
    <rPh sb="9" eb="11">
      <t>ジギョウ</t>
    </rPh>
    <rPh sb="11" eb="13">
      <t>ショトク</t>
    </rPh>
    <rPh sb="13" eb="14">
      <t>トウ</t>
    </rPh>
    <phoneticPr fontId="2"/>
  </si>
  <si>
    <t>＜平等割計算＞</t>
    <rPh sb="1" eb="4">
      <t>ビョウドウワ</t>
    </rPh>
    <rPh sb="4" eb="6">
      <t>ケイサン</t>
    </rPh>
    <phoneticPr fontId="2"/>
  </si>
  <si>
    <t>軽減なし</t>
    <rPh sb="0" eb="2">
      <t>ケイゲン</t>
    </rPh>
    <phoneticPr fontId="2"/>
  </si>
  <si>
    <t>●非自発的失業者の軽減に該当する場合は「⑤非自発的失業者の軽減の該当」で該当ありを選択。</t>
    <rPh sb="1" eb="5">
      <t>ヒジハツテキ</t>
    </rPh>
    <rPh sb="5" eb="8">
      <t>シツギョウシャ</t>
    </rPh>
    <rPh sb="9" eb="11">
      <t>ケイゲン</t>
    </rPh>
    <rPh sb="12" eb="14">
      <t>ガイトウ</t>
    </rPh>
    <rPh sb="16" eb="18">
      <t>バアイ</t>
    </rPh>
    <rPh sb="36" eb="38">
      <t>ガイトウ</t>
    </rPh>
    <rPh sb="41" eb="43">
      <t>センタク</t>
    </rPh>
    <phoneticPr fontId="2"/>
  </si>
  <si>
    <t>平等割合計</t>
    <rPh sb="0" eb="3">
      <t>ビョウドウワ</t>
    </rPh>
    <rPh sb="3" eb="5">
      <t>ゴウケイ</t>
    </rPh>
    <phoneticPr fontId="2"/>
  </si>
  <si>
    <t>被保険者数（擬主除く）</t>
    <rPh sb="0" eb="4">
      <t>ヒホケンシャ</t>
    </rPh>
    <rPh sb="4" eb="5">
      <t>スウ</t>
    </rPh>
    <rPh sb="6" eb="8">
      <t>ギヌシ</t>
    </rPh>
    <rPh sb="8" eb="9">
      <t>ノゾ</t>
    </rPh>
    <phoneticPr fontId="2"/>
  </si>
  <si>
    <t>介護分発生月数</t>
    <rPh sb="0" eb="2">
      <t>カイゴ</t>
    </rPh>
    <rPh sb="2" eb="3">
      <t>ブン</t>
    </rPh>
    <rPh sb="3" eb="5">
      <t>ハッセイ</t>
    </rPh>
    <rPh sb="5" eb="7">
      <t>ツキスウ</t>
    </rPh>
    <phoneticPr fontId="2"/>
  </si>
  <si>
    <t>新元号　１４年</t>
    <rPh sb="0" eb="3">
      <t>シンゲンゴウ</t>
    </rPh>
    <rPh sb="6" eb="7">
      <t>ネン</t>
    </rPh>
    <phoneticPr fontId="2"/>
  </si>
  <si>
    <t>世帯総所得</t>
    <rPh sb="0" eb="2">
      <t>セタイ</t>
    </rPh>
    <rPh sb="2" eb="5">
      <t>ソウショトク</t>
    </rPh>
    <phoneticPr fontId="2"/>
  </si>
  <si>
    <t>&lt;新制度定額値引きの表&gt;</t>
  </si>
  <si>
    <t>＜新制度割引の表＞</t>
  </si>
  <si>
    <t>平成30年以降で新制度定額引適応①（セルI10）に１が立っていると，こちらの表から拾って計算します</t>
    <rPh sb="0" eb="2">
      <t>ヘイセイ</t>
    </rPh>
    <rPh sb="4" eb="5">
      <t>ネン</t>
    </rPh>
    <rPh sb="5" eb="7">
      <t>イコウ</t>
    </rPh>
    <rPh sb="8" eb="11">
      <t>シンセイド</t>
    </rPh>
    <rPh sb="11" eb="13">
      <t>テイガク</t>
    </rPh>
    <rPh sb="13" eb="14">
      <t>ヒ</t>
    </rPh>
    <rPh sb="14" eb="16">
      <t>テキオウ</t>
    </rPh>
    <rPh sb="27" eb="28">
      <t>タ</t>
    </rPh>
    <rPh sb="38" eb="39">
      <t>ヒョウ</t>
    </rPh>
    <rPh sb="41" eb="42">
      <t>ヒロ</t>
    </rPh>
    <rPh sb="44" eb="46">
      <t>ケイサン</t>
    </rPh>
    <phoneticPr fontId="2"/>
  </si>
  <si>
    <r>
      <t>平成３０年以降で，</t>
    </r>
    <r>
      <rPr>
        <sz val="11"/>
        <color theme="1"/>
        <rFont val="ＭＳ Ｐゴシック"/>
      </rPr>
      <t>新制度定額引適応②（セルI１２）に１が立っていると，こちらの表から拾って計算します</t>
    </r>
    <rPh sb="0" eb="2">
      <t>ヘイセイ</t>
    </rPh>
    <rPh sb="4" eb="5">
      <t>ネン</t>
    </rPh>
    <rPh sb="5" eb="7">
      <t>イコウ</t>
    </rPh>
    <rPh sb="42" eb="43">
      <t>ヒロ</t>
    </rPh>
    <rPh sb="45" eb="47">
      <t>ケイサン</t>
    </rPh>
    <phoneticPr fontId="2"/>
  </si>
  <si>
    <t>新元号　１２年</t>
    <rPh sb="0" eb="3">
      <t>シンゲンゴウ</t>
    </rPh>
    <rPh sb="6" eb="7">
      <t>ネン</t>
    </rPh>
    <phoneticPr fontId="2"/>
  </si>
  <si>
    <t>本　表</t>
    <rPh sb="0" eb="1">
      <t>ホン</t>
    </rPh>
    <rPh sb="2" eb="3">
      <t>ヒョウ</t>
    </rPh>
    <phoneticPr fontId="2"/>
  </si>
  <si>
    <t>１割軽減</t>
    <rPh sb="1" eb="2">
      <t>ワリ</t>
    </rPh>
    <rPh sb="2" eb="4">
      <t>ケイゲン</t>
    </rPh>
    <phoneticPr fontId="2"/>
  </si>
  <si>
    <t>・各セルには，「世帯総所得が９９９９９９９９９円以下なら左の本表から２割引きする」という式が入っています</t>
    <rPh sb="1" eb="2">
      <t>カク</t>
    </rPh>
    <rPh sb="8" eb="10">
      <t>セタイ</t>
    </rPh>
    <rPh sb="10" eb="11">
      <t>ソウ</t>
    </rPh>
    <rPh sb="11" eb="13">
      <t>ショトク</t>
    </rPh>
    <rPh sb="23" eb="24">
      <t>エン</t>
    </rPh>
    <rPh sb="24" eb="26">
      <t>イカ</t>
    </rPh>
    <rPh sb="28" eb="29">
      <t>ヒダリ</t>
    </rPh>
    <rPh sb="30" eb="31">
      <t>ホン</t>
    </rPh>
    <rPh sb="31" eb="32">
      <t>ヒョウ</t>
    </rPh>
    <rPh sb="35" eb="37">
      <t>ワリビキ</t>
    </rPh>
    <rPh sb="44" eb="45">
      <t>シキ</t>
    </rPh>
    <rPh sb="46" eb="47">
      <t>ハイ</t>
    </rPh>
    <phoneticPr fontId="2"/>
  </si>
  <si>
    <t>・各セルの９９９９９９９９と，５００の値を変更することで，世帯総所得によって軽減割合ごとにいくら値引するのか変更することができます</t>
    <rPh sb="1" eb="2">
      <t>カク</t>
    </rPh>
    <rPh sb="19" eb="20">
      <t>アタイ</t>
    </rPh>
    <rPh sb="21" eb="23">
      <t>ヘンコウ</t>
    </rPh>
    <rPh sb="29" eb="31">
      <t>セタイ</t>
    </rPh>
    <rPh sb="31" eb="32">
      <t>ソウ</t>
    </rPh>
    <rPh sb="32" eb="34">
      <t>ショトク</t>
    </rPh>
    <rPh sb="38" eb="40">
      <t>ケイゲン</t>
    </rPh>
    <rPh sb="40" eb="42">
      <t>ワリアイ</t>
    </rPh>
    <rPh sb="48" eb="50">
      <t>ネビ</t>
    </rPh>
    <rPh sb="54" eb="56">
      <t>ヘンコウ</t>
    </rPh>
    <phoneticPr fontId="2"/>
  </si>
  <si>
    <t>・各セルの９９９９９９９９と，８/１０の値を変更することで，世帯総所得によって軽減割合ごとにいくら割引するのか変更することができます</t>
    <rPh sb="1" eb="2">
      <t>カク</t>
    </rPh>
    <rPh sb="20" eb="21">
      <t>アタイ</t>
    </rPh>
    <rPh sb="22" eb="24">
      <t>ヘンコウ</t>
    </rPh>
    <rPh sb="30" eb="32">
      <t>セタイ</t>
    </rPh>
    <rPh sb="32" eb="33">
      <t>ソウ</t>
    </rPh>
    <rPh sb="33" eb="35">
      <t>ショトク</t>
    </rPh>
    <rPh sb="39" eb="41">
      <t>ケイゲン</t>
    </rPh>
    <rPh sb="41" eb="43">
      <t>ワリアイ</t>
    </rPh>
    <rPh sb="49" eb="51">
      <t>ワリビキ</t>
    </rPh>
    <rPh sb="55" eb="57">
      <t>ヘンコウ</t>
    </rPh>
    <phoneticPr fontId="2"/>
  </si>
  <si>
    <t>1割軽減</t>
    <rPh sb="1" eb="2">
      <t>ワリ</t>
    </rPh>
    <rPh sb="2" eb="4">
      <t>ケイゲン</t>
    </rPh>
    <phoneticPr fontId="2"/>
  </si>
  <si>
    <t>(平成年度)</t>
    <rPh sb="1" eb="3">
      <t>ヘイセイ</t>
    </rPh>
    <rPh sb="3" eb="5">
      <t>ネンド</t>
    </rPh>
    <phoneticPr fontId="2"/>
  </si>
  <si>
    <t>新元号　７年</t>
    <rPh sb="0" eb="3">
      <t>シンゲンゴウ</t>
    </rPh>
    <rPh sb="5" eb="6">
      <t>ネン</t>
    </rPh>
    <phoneticPr fontId="2"/>
  </si>
  <si>
    <t>新元号　１０年</t>
    <rPh sb="0" eb="3">
      <t>シンゲンゴウ</t>
    </rPh>
    <rPh sb="6" eb="7">
      <t>ネン</t>
    </rPh>
    <phoneticPr fontId="2"/>
  </si>
  <si>
    <t>新元号　１１年</t>
    <rPh sb="0" eb="3">
      <t>シンゲンゴウ</t>
    </rPh>
    <rPh sb="6" eb="7">
      <t>ネン</t>
    </rPh>
    <phoneticPr fontId="2"/>
  </si>
  <si>
    <t>新元号　１３年</t>
    <rPh sb="0" eb="3">
      <t>シンゲンゴウ</t>
    </rPh>
    <rPh sb="6" eb="7">
      <t>ネン</t>
    </rPh>
    <phoneticPr fontId="2"/>
  </si>
  <si>
    <t>⑥世帯主の国民健康保険加入
（プルダウンから選択）</t>
    <rPh sb="1" eb="4">
      <t>セタイヌシ</t>
    </rPh>
    <rPh sb="5" eb="7">
      <t>コクミン</t>
    </rPh>
    <rPh sb="7" eb="9">
      <t>ケンコウ</t>
    </rPh>
    <rPh sb="9" eb="11">
      <t>ホケン</t>
    </rPh>
    <rPh sb="11" eb="13">
      <t>カニュウ</t>
    </rPh>
    <phoneticPr fontId="2"/>
  </si>
  <si>
    <t>新元号　１７年</t>
    <rPh sb="0" eb="3">
      <t>シンゲンゴウ</t>
    </rPh>
    <rPh sb="6" eb="7">
      <t>ネン</t>
    </rPh>
    <phoneticPr fontId="2"/>
  </si>
  <si>
    <t>新元号　１８年</t>
    <rPh sb="0" eb="3">
      <t>シンゲンゴウ</t>
    </rPh>
    <rPh sb="6" eb="7">
      <t>ネン</t>
    </rPh>
    <phoneticPr fontId="2"/>
  </si>
  <si>
    <t>③年金収入額
総支給額</t>
    <rPh sb="1" eb="3">
      <t>ネンキン</t>
    </rPh>
    <rPh sb="3" eb="6">
      <t>シュウニュウガク</t>
    </rPh>
    <rPh sb="7" eb="8">
      <t>ソウ</t>
    </rPh>
    <rPh sb="8" eb="11">
      <t>シキュウガク</t>
    </rPh>
    <phoneticPr fontId="2"/>
  </si>
  <si>
    <t>　で囲った部分（均等割金額履歴　入力）に，当該年度の金額を入力してください。</t>
    <rPh sb="2" eb="3">
      <t>カコ</t>
    </rPh>
    <rPh sb="5" eb="7">
      <t>ブブン</t>
    </rPh>
    <rPh sb="8" eb="10">
      <t>キントウ</t>
    </rPh>
    <rPh sb="10" eb="11">
      <t>ワ</t>
    </rPh>
    <rPh sb="11" eb="13">
      <t>キンガク</t>
    </rPh>
    <rPh sb="13" eb="15">
      <t>リレキ</t>
    </rPh>
    <rPh sb="16" eb="18">
      <t>ニュウリョク</t>
    </rPh>
    <rPh sb="21" eb="23">
      <t>トウガイ</t>
    </rPh>
    <rPh sb="23" eb="25">
      <t>ネンド</t>
    </rPh>
    <rPh sb="26" eb="27">
      <t>キン</t>
    </rPh>
    <rPh sb="27" eb="28">
      <t>ガク</t>
    </rPh>
    <rPh sb="29" eb="31">
      <t>ニュウリョク</t>
    </rPh>
    <phoneticPr fontId="2"/>
  </si>
  <si>
    <t>　・年度途中に国民健康保険に加入した方，やめる方がいる世帯</t>
    <rPh sb="2" eb="4">
      <t>ネンド</t>
    </rPh>
    <rPh sb="4" eb="6">
      <t>トチュウ</t>
    </rPh>
    <rPh sb="7" eb="9">
      <t>コクミン</t>
    </rPh>
    <rPh sb="9" eb="11">
      <t>ケンコウ</t>
    </rPh>
    <rPh sb="11" eb="13">
      <t>ホケン</t>
    </rPh>
    <rPh sb="14" eb="16">
      <t>カニュウ</t>
    </rPh>
    <rPh sb="18" eb="19">
      <t>ホウ</t>
    </rPh>
    <rPh sb="23" eb="24">
      <t>ホウ</t>
    </rPh>
    <rPh sb="27" eb="29">
      <t>セタイ</t>
    </rPh>
    <phoneticPr fontId="2"/>
  </si>
  <si>
    <t>新制度表の説明欄をご覧ください</t>
    <rPh sb="0" eb="3">
      <t>シンセイド</t>
    </rPh>
    <rPh sb="3" eb="4">
      <t>ヒョウ</t>
    </rPh>
    <rPh sb="5" eb="8">
      <t>セツメイラン</t>
    </rPh>
    <rPh sb="10" eb="11">
      <t>ラン</t>
    </rPh>
    <phoneticPr fontId="2"/>
  </si>
  <si>
    <t>擬主判定</t>
    <rPh sb="0" eb="2">
      <t>ギヌシ</t>
    </rPh>
    <rPh sb="2" eb="4">
      <t>ハンテイ</t>
    </rPh>
    <phoneticPr fontId="2"/>
  </si>
  <si>
    <t>存在判定</t>
    <rPh sb="0" eb="2">
      <t>ソンザイ</t>
    </rPh>
    <rPh sb="2" eb="4">
      <t>ハンテイ</t>
    </rPh>
    <phoneticPr fontId="2"/>
  </si>
  <si>
    <t>１８歳未満</t>
    <rPh sb="2" eb="3">
      <t>サイ</t>
    </rPh>
    <rPh sb="3" eb="5">
      <t>ミマン</t>
    </rPh>
    <phoneticPr fontId="2"/>
  </si>
  <si>
    <t>介護分月数</t>
    <rPh sb="0" eb="2">
      <t>カイゴ</t>
    </rPh>
    <rPh sb="2" eb="3">
      <t>ブン</t>
    </rPh>
    <rPh sb="3" eb="5">
      <t>ツキスウ</t>
    </rPh>
    <phoneticPr fontId="2"/>
  </si>
  <si>
    <t>均等割合計</t>
    <rPh sb="0" eb="3">
      <t>キントウワリ</t>
    </rPh>
    <rPh sb="3" eb="5">
      <t>ゴウケイ</t>
    </rPh>
    <phoneticPr fontId="2"/>
  </si>
  <si>
    <t>＜均等割金額履歴　入力＞</t>
    <rPh sb="1" eb="4">
      <t>キントウワリ</t>
    </rPh>
    <rPh sb="4" eb="6">
      <t>キンガク</t>
    </rPh>
    <rPh sb="6" eb="8">
      <t>リレキ</t>
    </rPh>
    <rPh sb="9" eb="11">
      <t>ニュウリョク</t>
    </rPh>
    <phoneticPr fontId="2"/>
  </si>
  <si>
    <t>平成30年以降で新制度定額引適応①（セルK16）に１が立っていると，こちらの表から拾って計算します</t>
    <rPh sb="0" eb="2">
      <t>ヘイセイ</t>
    </rPh>
    <rPh sb="4" eb="5">
      <t>ネン</t>
    </rPh>
    <rPh sb="5" eb="7">
      <t>イコウ</t>
    </rPh>
    <rPh sb="8" eb="11">
      <t>シンセイド</t>
    </rPh>
    <rPh sb="11" eb="13">
      <t>テイガク</t>
    </rPh>
    <rPh sb="13" eb="14">
      <t>ヒ</t>
    </rPh>
    <rPh sb="14" eb="16">
      <t>テキオウ</t>
    </rPh>
    <rPh sb="27" eb="28">
      <t>タ</t>
    </rPh>
    <rPh sb="38" eb="39">
      <t>ヒョウ</t>
    </rPh>
    <rPh sb="41" eb="42">
      <t>ヒロ</t>
    </rPh>
    <rPh sb="44" eb="46">
      <t>ケイサン</t>
    </rPh>
    <phoneticPr fontId="2"/>
  </si>
  <si>
    <t>・各セルの９９９９９９９９と，１０００の値を変更することで，世帯総所得によって軽減割合ごとにいくら値引するのか変更することができます</t>
    <rPh sb="1" eb="2">
      <t>カク</t>
    </rPh>
    <rPh sb="20" eb="21">
      <t>アタイ</t>
    </rPh>
    <rPh sb="22" eb="24">
      <t>ヘンコウ</t>
    </rPh>
    <rPh sb="30" eb="32">
      <t>セタイ</t>
    </rPh>
    <rPh sb="32" eb="33">
      <t>ソウ</t>
    </rPh>
    <rPh sb="33" eb="35">
      <t>ショトク</t>
    </rPh>
    <rPh sb="39" eb="41">
      <t>ケイゲン</t>
    </rPh>
    <rPh sb="41" eb="43">
      <t>ワリアイ</t>
    </rPh>
    <rPh sb="49" eb="51">
      <t>ネビ</t>
    </rPh>
    <rPh sb="55" eb="57">
      <t>ヘンコウ</t>
    </rPh>
    <phoneticPr fontId="2"/>
  </si>
  <si>
    <r>
      <t>平成３０年以降で，</t>
    </r>
    <r>
      <rPr>
        <sz val="11"/>
        <color theme="1"/>
        <rFont val="ＭＳ Ｐゴシック"/>
      </rPr>
      <t>新制度定額引適応②（セルK18）に１が立っていると，こちらの表から拾って計算します</t>
    </r>
    <rPh sb="0" eb="2">
      <t>ヘイセイ</t>
    </rPh>
    <rPh sb="4" eb="5">
      <t>ネン</t>
    </rPh>
    <rPh sb="5" eb="7">
      <t>イコウ</t>
    </rPh>
    <rPh sb="42" eb="43">
      <t>ヒロ</t>
    </rPh>
    <rPh sb="45" eb="47">
      <t>ケイサン</t>
    </rPh>
    <phoneticPr fontId="2"/>
  </si>
  <si>
    <t>・各セルには，「世帯総所得が９９９９９９９９９円以下なら左の本表から３割引きする」という式が入っています</t>
    <rPh sb="1" eb="2">
      <t>カク</t>
    </rPh>
    <rPh sb="8" eb="10">
      <t>セタイ</t>
    </rPh>
    <rPh sb="10" eb="11">
      <t>ソウ</t>
    </rPh>
    <rPh sb="11" eb="13">
      <t>ショトク</t>
    </rPh>
    <rPh sb="23" eb="24">
      <t>エン</t>
    </rPh>
    <rPh sb="24" eb="26">
      <t>イカ</t>
    </rPh>
    <rPh sb="28" eb="29">
      <t>ヒダリ</t>
    </rPh>
    <rPh sb="30" eb="31">
      <t>ホン</t>
    </rPh>
    <rPh sb="31" eb="32">
      <t>ヒョウ</t>
    </rPh>
    <rPh sb="35" eb="37">
      <t>ワリビキ</t>
    </rPh>
    <rPh sb="44" eb="45">
      <t>シキ</t>
    </rPh>
    <rPh sb="46" eb="47">
      <t>ハイ</t>
    </rPh>
    <phoneticPr fontId="2"/>
  </si>
  <si>
    <t>6人</t>
    <rPh sb="1" eb="2">
      <t>ニン</t>
    </rPh>
    <phoneticPr fontId="2"/>
  </si>
  <si>
    <t>・各セルの９９９９９９９９と，７/１０の値を変更することで，世帯総所得によって軽減割合ごとにいくら割引するのか変更することができます</t>
    <rPh sb="1" eb="2">
      <t>カク</t>
    </rPh>
    <rPh sb="20" eb="21">
      <t>アタイ</t>
    </rPh>
    <rPh sb="22" eb="24">
      <t>ヘンコウ</t>
    </rPh>
    <rPh sb="30" eb="32">
      <t>セタイ</t>
    </rPh>
    <rPh sb="32" eb="33">
      <t>ソウ</t>
    </rPh>
    <rPh sb="33" eb="35">
      <t>ショトク</t>
    </rPh>
    <rPh sb="39" eb="41">
      <t>ケイゲン</t>
    </rPh>
    <rPh sb="41" eb="43">
      <t>ワリアイ</t>
    </rPh>
    <rPh sb="49" eb="51">
      <t>ワリビキ</t>
    </rPh>
    <rPh sb="55" eb="57">
      <t>ヘンコウ</t>
    </rPh>
    <phoneticPr fontId="2"/>
  </si>
  <si>
    <t>世帯員６</t>
    <rPh sb="0" eb="3">
      <t>セタイイン</t>
    </rPh>
    <phoneticPr fontId="2"/>
  </si>
  <si>
    <t>★制度改正への対応　①限度額の変更・・・</t>
    <rPh sb="1" eb="3">
      <t>セイド</t>
    </rPh>
    <rPh sb="3" eb="5">
      <t>カイセイ</t>
    </rPh>
    <rPh sb="7" eb="9">
      <t>タイオウ</t>
    </rPh>
    <rPh sb="11" eb="14">
      <t>ゲンドガク</t>
    </rPh>
    <rPh sb="15" eb="17">
      <t>ヘンコウ</t>
    </rPh>
    <phoneticPr fontId="2"/>
  </si>
  <si>
    <t>　で囲った部分（賦課限度額履歴　入力）に，当該年度の限度額を入力してください。</t>
    <rPh sb="2" eb="3">
      <t>カコ</t>
    </rPh>
    <rPh sb="5" eb="7">
      <t>ブブン</t>
    </rPh>
    <rPh sb="8" eb="10">
      <t>フカ</t>
    </rPh>
    <rPh sb="10" eb="13">
      <t>ゲンドガク</t>
    </rPh>
    <rPh sb="13" eb="15">
      <t>リレキ</t>
    </rPh>
    <rPh sb="16" eb="18">
      <t>ニュウリョク</t>
    </rPh>
    <rPh sb="21" eb="23">
      <t>トウガイ</t>
    </rPh>
    <rPh sb="23" eb="25">
      <t>ネンド</t>
    </rPh>
    <rPh sb="26" eb="29">
      <t>ゲンドガク</t>
    </rPh>
    <rPh sb="30" eb="32">
      <t>ニュウリョク</t>
    </rPh>
    <phoneticPr fontId="2"/>
  </si>
  <si>
    <t>保険料総額</t>
    <rPh sb="0" eb="3">
      <t>ホケンリョウ</t>
    </rPh>
    <rPh sb="3" eb="5">
      <t>ソウガク</t>
    </rPh>
    <phoneticPr fontId="2"/>
  </si>
  <si>
    <t>６５歳以上</t>
    <rPh sb="2" eb="3">
      <t>サイ</t>
    </rPh>
    <rPh sb="3" eb="5">
      <t>イジョウ</t>
    </rPh>
    <phoneticPr fontId="2"/>
  </si>
  <si>
    <t>合計</t>
    <rPh sb="0" eb="2">
      <t>ゴウケイ</t>
    </rPh>
    <phoneticPr fontId="2"/>
  </si>
  <si>
    <t>保険料確定</t>
    <rPh sb="0" eb="3">
      <t>ホケンリョウ</t>
    </rPh>
    <rPh sb="3" eb="5">
      <t>カクテイ</t>
    </rPh>
    <phoneticPr fontId="2"/>
  </si>
  <si>
    <t>保険料合計</t>
    <rPh sb="0" eb="3">
      <t>ホケンリョウ</t>
    </rPh>
    <rPh sb="3" eb="5">
      <t>ゴウケイ</t>
    </rPh>
    <phoneticPr fontId="2"/>
  </si>
  <si>
    <t>支払月数⑨</t>
    <rPh sb="0" eb="2">
      <t>シハラ</t>
    </rPh>
    <rPh sb="2" eb="4">
      <t>ツキスウ</t>
    </rPh>
    <phoneticPr fontId="2"/>
  </si>
  <si>
    <t>初回</t>
    <rPh sb="0" eb="2">
      <t>ショカイ</t>
    </rPh>
    <phoneticPr fontId="2"/>
  </si>
  <si>
    <t>２回目以降</t>
    <rPh sb="1" eb="3">
      <t>カイメ</t>
    </rPh>
    <rPh sb="3" eb="5">
      <t>イコウ</t>
    </rPh>
    <phoneticPr fontId="2"/>
  </si>
  <si>
    <t>加入月数⑧</t>
    <rPh sb="0" eb="2">
      <t>カニュウ</t>
    </rPh>
    <rPh sb="2" eb="4">
      <t>ツキスウ</t>
    </rPh>
    <phoneticPr fontId="2"/>
  </si>
  <si>
    <t>基礎控除後の総所得金額</t>
    <rPh sb="0" eb="2">
      <t>キソ</t>
    </rPh>
    <rPh sb="2" eb="4">
      <t>コウジョ</t>
    </rPh>
    <rPh sb="4" eb="5">
      <t>ゴ</t>
    </rPh>
    <rPh sb="6" eb="9">
      <t>ソウショトク</t>
    </rPh>
    <rPh sb="9" eb="11">
      <t>キンガク</t>
    </rPh>
    <phoneticPr fontId="2"/>
  </si>
  <si>
    <t>介護減免基準額</t>
    <rPh sb="0" eb="2">
      <t>カイゴ</t>
    </rPh>
    <rPh sb="2" eb="4">
      <t>ゲンメン</t>
    </rPh>
    <rPh sb="4" eb="7">
      <t>キジュンガク</t>
    </rPh>
    <phoneticPr fontId="2"/>
  </si>
  <si>
    <t>介護減免額（1人当たり）</t>
    <rPh sb="0" eb="2">
      <t>カイゴ</t>
    </rPh>
    <rPh sb="2" eb="4">
      <t>ゲンメン</t>
    </rPh>
    <rPh sb="4" eb="5">
      <t>ガク</t>
    </rPh>
    <rPh sb="7" eb="8">
      <t>ニン</t>
    </rPh>
    <rPh sb="8" eb="9">
      <t>ア</t>
    </rPh>
    <phoneticPr fontId="2"/>
  </si>
  <si>
    <t>加入月数</t>
    <rPh sb="0" eb="2">
      <t>カニュウ</t>
    </rPh>
    <rPh sb="2" eb="4">
      <t>ツキスウ</t>
    </rPh>
    <phoneticPr fontId="2"/>
  </si>
  <si>
    <t>個人減免額</t>
    <rPh sb="0" eb="2">
      <t>コジン</t>
    </rPh>
    <rPh sb="2" eb="5">
      <t>ゲンメンガク</t>
    </rPh>
    <phoneticPr fontId="2"/>
  </si>
  <si>
    <t>減免後</t>
    <rPh sb="0" eb="2">
      <t>ゲンメン</t>
    </rPh>
    <rPh sb="2" eb="3">
      <t>ゴ</t>
    </rPh>
    <phoneticPr fontId="2"/>
  </si>
  <si>
    <t>5割・7割軽減減免額（1人当たり）</t>
    <rPh sb="1" eb="2">
      <t>ワリ</t>
    </rPh>
    <rPh sb="4" eb="5">
      <t>ワリ</t>
    </rPh>
    <rPh sb="5" eb="7">
      <t>ケイゲン</t>
    </rPh>
    <rPh sb="7" eb="10">
      <t>ゲンメンガク</t>
    </rPh>
    <rPh sb="12" eb="13">
      <t>ニン</t>
    </rPh>
    <rPh sb="13" eb="14">
      <t>ア</t>
    </rPh>
    <phoneticPr fontId="2"/>
  </si>
  <si>
    <t>年間国民健康保険料
（４月～３月）</t>
    <rPh sb="0" eb="2">
      <t>ネンカン</t>
    </rPh>
    <rPh sb="2" eb="4">
      <t>コクミン</t>
    </rPh>
    <rPh sb="4" eb="6">
      <t>ケンコウ</t>
    </rPh>
    <rPh sb="6" eb="9">
      <t>ホケンリョウ</t>
    </rPh>
    <rPh sb="12" eb="13">
      <t>ガツ</t>
    </rPh>
    <rPh sb="15" eb="16">
      <t>ガツ</t>
    </rPh>
    <phoneticPr fontId="2"/>
  </si>
  <si>
    <t>１か月あたりの保険料</t>
    <rPh sb="2" eb="3">
      <t>ゲツ</t>
    </rPh>
    <rPh sb="7" eb="10">
      <t>ホケンリョウ</t>
    </rPh>
    <phoneticPr fontId="2"/>
  </si>
  <si>
    <t>①年齢区分
（プルダウンから選択）</t>
    <rPh sb="1" eb="3">
      <t>ネンレイ</t>
    </rPh>
    <rPh sb="3" eb="5">
      <t>クブン</t>
    </rPh>
    <rPh sb="14" eb="16">
      <t>センタク</t>
    </rPh>
    <phoneticPr fontId="2"/>
  </si>
  <si>
    <t>②給与収入額
総支給額</t>
    <rPh sb="1" eb="3">
      <t>キュウヨ</t>
    </rPh>
    <rPh sb="3" eb="6">
      <t>シュウニュウガク</t>
    </rPh>
    <rPh sb="7" eb="8">
      <t>ソウ</t>
    </rPh>
    <rPh sb="8" eb="11">
      <t>シキュウガク</t>
    </rPh>
    <phoneticPr fontId="2"/>
  </si>
  <si>
    <t>　・年度途中で４０歳・６５歳・７５歳になる方がいる世帯</t>
    <rPh sb="2" eb="4">
      <t>ネンド</t>
    </rPh>
    <rPh sb="4" eb="6">
      <t>トチュウ</t>
    </rPh>
    <rPh sb="9" eb="10">
      <t>サイ</t>
    </rPh>
    <rPh sb="13" eb="14">
      <t>サイ</t>
    </rPh>
    <rPh sb="17" eb="18">
      <t>サイ</t>
    </rPh>
    <rPh sb="21" eb="22">
      <t>カタ</t>
    </rPh>
    <rPh sb="25" eb="27">
      <t>セタイ</t>
    </rPh>
    <phoneticPr fontId="2"/>
  </si>
  <si>
    <t>※住民票上の世帯単位で入力が必要。</t>
    <rPh sb="1" eb="4">
      <t>ジュウミンヒョウ</t>
    </rPh>
    <rPh sb="4" eb="5">
      <t>ジョウ</t>
    </rPh>
    <rPh sb="6" eb="8">
      <t>セタイ</t>
    </rPh>
    <rPh sb="8" eb="10">
      <t>タンイ</t>
    </rPh>
    <rPh sb="11" eb="13">
      <t>ニュウリョク</t>
    </rPh>
    <rPh sb="14" eb="16">
      <t>ヒツヨウ</t>
    </rPh>
    <phoneticPr fontId="2"/>
  </si>
  <si>
    <t>【注意事項】　※必ず注意事項を確認してから入力してください</t>
    <rPh sb="1" eb="3">
      <t>チュウイ</t>
    </rPh>
    <rPh sb="3" eb="5">
      <t>ジコウ</t>
    </rPh>
    <rPh sb="8" eb="9">
      <t>カナラ</t>
    </rPh>
    <rPh sb="10" eb="12">
      <t>チュウイ</t>
    </rPh>
    <rPh sb="12" eb="14">
      <t>ジコウ</t>
    </rPh>
    <rPh sb="15" eb="17">
      <t>カクニン</t>
    </rPh>
    <rPh sb="21" eb="23">
      <t>ニュウリョク</t>
    </rPh>
    <phoneticPr fontId="2"/>
  </si>
  <si>
    <t>下の表に次のとおり入力すると，おおよその保険料の年額（４月～翌年３月）と，１か月あたりの金額を試算できます。</t>
    <rPh sb="0" eb="1">
      <t>シタ</t>
    </rPh>
    <rPh sb="2" eb="3">
      <t>ヒョウ</t>
    </rPh>
    <rPh sb="4" eb="5">
      <t>ツギ</t>
    </rPh>
    <rPh sb="9" eb="11">
      <t>ニュウリョク</t>
    </rPh>
    <rPh sb="20" eb="23">
      <t>ホケンリョウ</t>
    </rPh>
    <rPh sb="24" eb="26">
      <t>ネンガク</t>
    </rPh>
    <rPh sb="28" eb="29">
      <t>ガツ</t>
    </rPh>
    <rPh sb="30" eb="32">
      <t>ヨクネン</t>
    </rPh>
    <rPh sb="33" eb="34">
      <t>ガツ</t>
    </rPh>
    <rPh sb="39" eb="40">
      <t>ゲツ</t>
    </rPh>
    <rPh sb="44" eb="46">
      <t>キンガク</t>
    </rPh>
    <rPh sb="47" eb="49">
      <t>シサン</t>
    </rPh>
    <phoneticPr fontId="2"/>
  </si>
  <si>
    <t>※保険料の納付は届出した翌月以降から始まるため，１回あたりの納付金額は１か月あたりの保険料より高くなる場合があります。</t>
    <rPh sb="1" eb="4">
      <t>ホケンリョウ</t>
    </rPh>
    <rPh sb="5" eb="7">
      <t>ノウフ</t>
    </rPh>
    <rPh sb="8" eb="10">
      <t>トドケデ</t>
    </rPh>
    <rPh sb="12" eb="13">
      <t>ヨク</t>
    </rPh>
    <rPh sb="13" eb="14">
      <t>ツキ</t>
    </rPh>
    <rPh sb="14" eb="16">
      <t>イコウ</t>
    </rPh>
    <rPh sb="18" eb="19">
      <t>ハジ</t>
    </rPh>
    <rPh sb="25" eb="26">
      <t>カイ</t>
    </rPh>
    <rPh sb="30" eb="33">
      <t>ノウフキン</t>
    </rPh>
    <rPh sb="33" eb="34">
      <t>ガク</t>
    </rPh>
    <rPh sb="37" eb="38">
      <t>ゲツ</t>
    </rPh>
    <rPh sb="42" eb="45">
      <t>ホケンリョウ</t>
    </rPh>
    <rPh sb="47" eb="48">
      <t>タカ</t>
    </rPh>
    <rPh sb="51" eb="53">
      <t>バアイ</t>
    </rPh>
    <phoneticPr fontId="2"/>
  </si>
  <si>
    <t>●世帯主の国民健康保険の加入有無について「⑥世帯主の国民健康保険加入」を選択。</t>
    <rPh sb="1" eb="4">
      <t>セタイヌシ</t>
    </rPh>
    <rPh sb="5" eb="7">
      <t>コクミン</t>
    </rPh>
    <rPh sb="7" eb="9">
      <t>ケンコウ</t>
    </rPh>
    <rPh sb="9" eb="11">
      <t>ホケン</t>
    </rPh>
    <rPh sb="12" eb="14">
      <t>カニュウ</t>
    </rPh>
    <rPh sb="14" eb="16">
      <t>ウム</t>
    </rPh>
    <rPh sb="22" eb="25">
      <t>セタイヌシ</t>
    </rPh>
    <rPh sb="26" eb="34">
      <t>コクミンケンコウホケンカニュウ</t>
    </rPh>
    <rPh sb="36" eb="38">
      <t>センタク</t>
    </rPh>
    <phoneticPr fontId="2"/>
  </si>
  <si>
    <t>※非自発的失業者の軽減については，こちらで確認。</t>
    <rPh sb="1" eb="5">
      <t>ヒジハツテキ</t>
    </rPh>
    <rPh sb="5" eb="8">
      <t>シツギョウシャ</t>
    </rPh>
    <rPh sb="9" eb="11">
      <t>ケイゲン</t>
    </rPh>
    <rPh sb="21" eb="23">
      <t>カクニン</t>
    </rPh>
    <phoneticPr fontId="2"/>
  </si>
  <si>
    <t>⑤非自発的失業者の軽減の該当
（プルダウンから選択）</t>
    <rPh sb="1" eb="5">
      <t>ヒジハツテキ</t>
    </rPh>
    <rPh sb="5" eb="8">
      <t>シツギョウシャ</t>
    </rPh>
    <rPh sb="9" eb="11">
      <t>ケイゲン</t>
    </rPh>
    <rPh sb="12" eb="14">
      <t>ガイトウ</t>
    </rPh>
    <phoneticPr fontId="2"/>
  </si>
  <si>
    <t>　・分離課税所得や専従者控除，専従者給与，長期・短期譲渡所得の特別控除，繰越控除等がある場合</t>
    <rPh sb="2" eb="4">
      <t>ブンリ</t>
    </rPh>
    <rPh sb="4" eb="6">
      <t>カゼイ</t>
    </rPh>
    <rPh sb="6" eb="8">
      <t>ショトク</t>
    </rPh>
    <rPh sb="9" eb="12">
      <t>センジュウシャ</t>
    </rPh>
    <rPh sb="12" eb="14">
      <t>コウジョ</t>
    </rPh>
    <rPh sb="15" eb="18">
      <t>センジュウシャ</t>
    </rPh>
    <rPh sb="18" eb="20">
      <t>キュウヨ</t>
    </rPh>
    <rPh sb="21" eb="23">
      <t>チョウキ</t>
    </rPh>
    <rPh sb="24" eb="26">
      <t>タンキ</t>
    </rPh>
    <rPh sb="26" eb="28">
      <t>ジョウト</t>
    </rPh>
    <rPh sb="28" eb="30">
      <t>ショトク</t>
    </rPh>
    <rPh sb="31" eb="33">
      <t>トクベツ</t>
    </rPh>
    <rPh sb="33" eb="35">
      <t>コウジョ</t>
    </rPh>
    <rPh sb="36" eb="38">
      <t>クリコシ</t>
    </rPh>
    <rPh sb="38" eb="40">
      <t>コウジョ</t>
    </rPh>
    <rPh sb="40" eb="41">
      <t>トウ</t>
    </rPh>
    <rPh sb="44" eb="46">
      <t>バアイ</t>
    </rPh>
    <phoneticPr fontId="2"/>
  </si>
  <si>
    <t>※上記結果はあくまでも試算であり，簡略化しているため実際の保険料額と異なる場合がありますので，
必要に応じて『保険料の賦課・計算方法』にて御確認ください。</t>
    <rPh sb="1" eb="3">
      <t>ジョウキ</t>
    </rPh>
    <rPh sb="3" eb="5">
      <t>ケッカ</t>
    </rPh>
    <rPh sb="11" eb="13">
      <t>シサン</t>
    </rPh>
    <rPh sb="17" eb="20">
      <t>カンリャクカ</t>
    </rPh>
    <rPh sb="26" eb="28">
      <t>ジッサイ</t>
    </rPh>
    <rPh sb="29" eb="32">
      <t>ホケンリョウ</t>
    </rPh>
    <rPh sb="32" eb="33">
      <t>ガク</t>
    </rPh>
    <rPh sb="34" eb="35">
      <t>コト</t>
    </rPh>
    <rPh sb="37" eb="39">
      <t>バアイ</t>
    </rPh>
    <rPh sb="48" eb="50">
      <t>ヒツヨウ</t>
    </rPh>
    <rPh sb="51" eb="52">
      <t>オウ</t>
    </rPh>
    <rPh sb="55" eb="58">
      <t>ホケンリョウ</t>
    </rPh>
    <rPh sb="59" eb="61">
      <t>フカ</t>
    </rPh>
    <rPh sb="62" eb="64">
      <t>ケイサン</t>
    </rPh>
    <rPh sb="64" eb="66">
      <t>ホウホウ</t>
    </rPh>
    <rPh sb="69" eb="72">
      <t>ゴカクニン</t>
    </rPh>
    <phoneticPr fontId="2"/>
  </si>
  <si>
    <t>→『保険料の賦課・計算方法』については，こちらで確認</t>
    <rPh sb="2" eb="5">
      <t>ホケンリョウ</t>
    </rPh>
    <rPh sb="6" eb="8">
      <t>フカ</t>
    </rPh>
    <rPh sb="9" eb="11">
      <t>ケイサン</t>
    </rPh>
    <rPh sb="11" eb="13">
      <t>ホウホウ</t>
    </rPh>
    <rPh sb="24" eb="26">
      <t>カクニン</t>
    </rPh>
    <phoneticPr fontId="2"/>
  </si>
  <si>
    <t>　・給与所得の特定支出控除等がある場合</t>
    <rPh sb="2" eb="4">
      <t>キュウヨ</t>
    </rPh>
    <rPh sb="4" eb="6">
      <t>ショトク</t>
    </rPh>
    <rPh sb="7" eb="9">
      <t>トクテイ</t>
    </rPh>
    <rPh sb="9" eb="11">
      <t>シシュツ</t>
    </rPh>
    <rPh sb="11" eb="13">
      <t>コウジョ</t>
    </rPh>
    <rPh sb="13" eb="14">
      <t>トウ</t>
    </rPh>
    <rPh sb="17" eb="19">
      <t>バアイ</t>
    </rPh>
    <phoneticPr fontId="2"/>
  </si>
  <si>
    <t>　・同じ世帯の中に国民健康保険から後期高齢者医療制度に移行した方（特定同一世帯所属者）がいる世帯</t>
  </si>
  <si>
    <t>給与所得（調整控除前）</t>
    <rPh sb="0" eb="2">
      <t>キュウヨ</t>
    </rPh>
    <rPh sb="2" eb="4">
      <t>ショトク</t>
    </rPh>
    <rPh sb="5" eb="7">
      <t>チョウセイ</t>
    </rPh>
    <rPh sb="7" eb="9">
      <t>コウジョ</t>
    </rPh>
    <rPh sb="9" eb="10">
      <t>マエ</t>
    </rPh>
    <phoneticPr fontId="2"/>
  </si>
  <si>
    <t>給与所得（調整控除後）</t>
    <rPh sb="0" eb="2">
      <t>キュウヨ</t>
    </rPh>
    <rPh sb="2" eb="4">
      <t>ショトク</t>
    </rPh>
    <rPh sb="5" eb="7">
      <t>チョウセイ</t>
    </rPh>
    <rPh sb="7" eb="9">
      <t>コウジョ</t>
    </rPh>
    <rPh sb="9" eb="10">
      <t>ゴ</t>
    </rPh>
    <phoneticPr fontId="2"/>
  </si>
  <si>
    <t>　・年度途中から非自発的失業者の軽減に該当する場合</t>
    <rPh sb="2" eb="4">
      <t>ネンド</t>
    </rPh>
    <rPh sb="4" eb="6">
      <t>トチュウ</t>
    </rPh>
    <phoneticPr fontId="2"/>
  </si>
  <si>
    <t>※次のいずれかに該当する場合は，保険料試算に対応していません。</t>
    <rPh sb="1" eb="2">
      <t>ツギ</t>
    </rPh>
    <rPh sb="8" eb="10">
      <t>ガイトウ</t>
    </rPh>
    <rPh sb="12" eb="14">
      <t>バアイ</t>
    </rPh>
    <rPh sb="16" eb="19">
      <t>ホケンリョウ</t>
    </rPh>
    <rPh sb="19" eb="21">
      <t>シサン</t>
    </rPh>
    <rPh sb="22" eb="24">
      <t>タイオウ</t>
    </rPh>
    <phoneticPr fontId="2"/>
  </si>
  <si>
    <t>７人目</t>
    <rPh sb="1" eb="3">
      <t>ニンメ</t>
    </rPh>
    <phoneticPr fontId="2"/>
  </si>
  <si>
    <t>7人</t>
    <rPh sb="1" eb="2">
      <t>ニン</t>
    </rPh>
    <phoneticPr fontId="2"/>
  </si>
  <si>
    <t>●世帯主及び国民健康保険に加入する世帯員１～６の「①年齢区分」を選択。</t>
    <rPh sb="1" eb="4">
      <t>セタイヌシ</t>
    </rPh>
    <rPh sb="4" eb="5">
      <t>オヨ</t>
    </rPh>
    <rPh sb="6" eb="8">
      <t>コクミン</t>
    </rPh>
    <rPh sb="8" eb="10">
      <t>ケンコウ</t>
    </rPh>
    <rPh sb="10" eb="12">
      <t>ホケン</t>
    </rPh>
    <rPh sb="13" eb="15">
      <t>カニュウ</t>
    </rPh>
    <rPh sb="17" eb="20">
      <t>セタイイン</t>
    </rPh>
    <rPh sb="26" eb="28">
      <t>ネンレイ</t>
    </rPh>
    <rPh sb="28" eb="30">
      <t>クブン</t>
    </rPh>
    <rPh sb="32" eb="34">
      <t>センタク</t>
    </rPh>
    <phoneticPr fontId="2"/>
  </si>
  <si>
    <t>※世帯主が７５歳以上の場合は，「加入しない」を選択。
※「⑥世帯主の国民健康保険加入」を選択していない場合，加入するものとして計算。</t>
    <rPh sb="1" eb="4">
      <t>セタイヌシ</t>
    </rPh>
    <rPh sb="7" eb="8">
      <t>サイ</t>
    </rPh>
    <rPh sb="8" eb="10">
      <t>イジョウ</t>
    </rPh>
    <rPh sb="11" eb="13">
      <t>バアイ</t>
    </rPh>
    <rPh sb="16" eb="18">
      <t>カニュウ</t>
    </rPh>
    <rPh sb="23" eb="25">
      <t>センタク</t>
    </rPh>
    <rPh sb="30" eb="33">
      <t>セタイヌシ</t>
    </rPh>
    <rPh sb="34" eb="36">
      <t>コクミン</t>
    </rPh>
    <rPh sb="36" eb="38">
      <t>ケンコウ</t>
    </rPh>
    <rPh sb="38" eb="40">
      <t>ホケン</t>
    </rPh>
    <rPh sb="40" eb="42">
      <t>カニュウ</t>
    </rPh>
    <rPh sb="44" eb="46">
      <t>センタク</t>
    </rPh>
    <rPh sb="51" eb="53">
      <t>バアイ</t>
    </rPh>
    <rPh sb="54" eb="56">
      <t>カニュウ</t>
    </rPh>
    <rPh sb="63" eb="65">
      <t>ケイサン</t>
    </rPh>
    <phoneticPr fontId="2"/>
  </si>
  <si>
    <t>※世帯主については，加入しない場合でも必ず入力が必要。
※「④その他の所得（事業所得等）」の所得金額は収入金額から必要経費及び青色申告特別控除（青色申告者のみ）を差し引いたもの。
※非課税所得（遺族年金，障害年金，雇用保険等）及び退職所得は含まない。</t>
    <rPh sb="1" eb="4">
      <t>セタイヌシ</t>
    </rPh>
    <rPh sb="10" eb="12">
      <t>カニュウ</t>
    </rPh>
    <rPh sb="15" eb="17">
      <t>バアイ</t>
    </rPh>
    <rPh sb="19" eb="20">
      <t>カナラ</t>
    </rPh>
    <rPh sb="21" eb="23">
      <t>ニュウリョク</t>
    </rPh>
    <rPh sb="24" eb="26">
      <t>ヒツヨウ</t>
    </rPh>
    <rPh sb="46" eb="48">
      <t>ショトク</t>
    </rPh>
    <rPh sb="48" eb="50">
      <t>キンガク</t>
    </rPh>
    <rPh sb="51" eb="53">
      <t>シュウニュウ</t>
    </rPh>
    <rPh sb="53" eb="55">
      <t>キンガク</t>
    </rPh>
    <rPh sb="57" eb="59">
      <t>ヒツヨウ</t>
    </rPh>
    <rPh sb="59" eb="61">
      <t>ケイヒ</t>
    </rPh>
    <rPh sb="61" eb="62">
      <t>オヨ</t>
    </rPh>
    <rPh sb="63" eb="65">
      <t>アオイロ</t>
    </rPh>
    <rPh sb="65" eb="67">
      <t>シンコク</t>
    </rPh>
    <rPh sb="67" eb="69">
      <t>トクベツ</t>
    </rPh>
    <rPh sb="69" eb="71">
      <t>コウジョ</t>
    </rPh>
    <rPh sb="72" eb="74">
      <t>アオイロ</t>
    </rPh>
    <rPh sb="74" eb="77">
      <t>シンコクシャ</t>
    </rPh>
    <rPh sb="81" eb="82">
      <t>サ</t>
    </rPh>
    <rPh sb="83" eb="84">
      <t>ヒ</t>
    </rPh>
    <rPh sb="91" eb="94">
      <t>ヒカゼイ</t>
    </rPh>
    <rPh sb="94" eb="96">
      <t>ショトク</t>
    </rPh>
    <rPh sb="97" eb="99">
      <t>イゾク</t>
    </rPh>
    <rPh sb="99" eb="101">
      <t>ネンキン</t>
    </rPh>
    <rPh sb="102" eb="104">
      <t>ショウガイ</t>
    </rPh>
    <rPh sb="104" eb="106">
      <t>ネンキン</t>
    </rPh>
    <rPh sb="107" eb="109">
      <t>コヨウ</t>
    </rPh>
    <rPh sb="109" eb="111">
      <t>ホケン</t>
    </rPh>
    <rPh sb="111" eb="112">
      <t>トウ</t>
    </rPh>
    <rPh sb="113" eb="114">
      <t>オヨ</t>
    </rPh>
    <rPh sb="115" eb="117">
      <t>タイショク</t>
    </rPh>
    <rPh sb="117" eb="119">
      <t>ショトク</t>
    </rPh>
    <rPh sb="120" eb="121">
      <t>フク</t>
    </rPh>
    <phoneticPr fontId="2"/>
  </si>
  <si>
    <t>　・年金収入がある方で，前年度の１月２日から３月３１日に６５歳になる方がいる世帯</t>
    <rPh sb="2" eb="4">
      <t>ネンキン</t>
    </rPh>
    <rPh sb="4" eb="6">
      <t>シュウニュウ</t>
    </rPh>
    <rPh sb="9" eb="10">
      <t>カタ</t>
    </rPh>
    <rPh sb="12" eb="15">
      <t>ゼンネンド</t>
    </rPh>
    <rPh sb="17" eb="18">
      <t>ガツ</t>
    </rPh>
    <rPh sb="19" eb="20">
      <t>ニチ</t>
    </rPh>
    <rPh sb="23" eb="24">
      <t>ガツ</t>
    </rPh>
    <rPh sb="26" eb="27">
      <t>ニチ</t>
    </rPh>
    <rPh sb="30" eb="31">
      <t>サイ</t>
    </rPh>
    <rPh sb="34" eb="35">
      <t>カタ</t>
    </rPh>
    <rPh sb="38" eb="40">
      <t>セタイ</t>
    </rPh>
    <phoneticPr fontId="2"/>
  </si>
  <si>
    <t>給与所得者等判定（65～）</t>
    <rPh sb="0" eb="2">
      <t>キュウヨ</t>
    </rPh>
    <rPh sb="2" eb="5">
      <t>ショトクシャ</t>
    </rPh>
    <rPh sb="5" eb="6">
      <t>トウ</t>
    </rPh>
    <rPh sb="6" eb="8">
      <t>ハンテイ</t>
    </rPh>
    <phoneticPr fontId="2"/>
  </si>
  <si>
    <t>給与所得者等判定（65未満）</t>
    <rPh sb="0" eb="2">
      <t>キュウヨ</t>
    </rPh>
    <rPh sb="2" eb="5">
      <t>ショトクシャ</t>
    </rPh>
    <rPh sb="5" eb="6">
      <t>トウ</t>
    </rPh>
    <rPh sb="6" eb="8">
      <t>ハンテイ</t>
    </rPh>
    <rPh sb="11" eb="13">
      <t>ミマン</t>
    </rPh>
    <phoneticPr fontId="2"/>
  </si>
  <si>
    <t>令和７年度国民健康保険料簡易試算シート</t>
    <rPh sb="0" eb="2">
      <t>レイワ</t>
    </rPh>
    <rPh sb="3" eb="5">
      <t>ネンド</t>
    </rPh>
    <rPh sb="5" eb="12">
      <t>コクミンケンコウホケンリョウ</t>
    </rPh>
    <rPh sb="12" eb="14">
      <t>カンイ</t>
    </rPh>
    <rPh sb="14" eb="16">
      <t>シサン</t>
    </rPh>
    <phoneticPr fontId="2"/>
  </si>
  <si>
    <t>●世帯主及び加入される方全員の令和６年中の収入額を「②給与収入額総支給額」，「③年金収入額総支給額」に，
　「④その他の所得（事業所得等）」には所得を入力。空白の場合，該当収入・所得が０円として計算する。</t>
    <rPh sb="1" eb="4">
      <t>セタイヌシ</t>
    </rPh>
    <rPh sb="4" eb="5">
      <t>オヨ</t>
    </rPh>
    <rPh sb="6" eb="8">
      <t>カニュウ</t>
    </rPh>
    <rPh sb="11" eb="12">
      <t>カタ</t>
    </rPh>
    <rPh sb="12" eb="14">
      <t>ゼンイン</t>
    </rPh>
    <rPh sb="15" eb="17">
      <t>レイワ</t>
    </rPh>
    <rPh sb="18" eb="20">
      <t>ネンチュウ</t>
    </rPh>
    <rPh sb="21" eb="24">
      <t>シュウニュウガク</t>
    </rPh>
    <rPh sb="27" eb="36">
      <t>キュウヨシュウニュウガクソウシキュウガク</t>
    </rPh>
    <rPh sb="40" eb="49">
      <t>ネンキンシュウニュウガクソウシキュウガク</t>
    </rPh>
    <rPh sb="72" eb="74">
      <t>ショトク</t>
    </rPh>
    <rPh sb="75" eb="77">
      <t>ニュウリョク</t>
    </rPh>
    <rPh sb="78" eb="80">
      <t>クウハク</t>
    </rPh>
    <rPh sb="81" eb="83">
      <t>バアイ</t>
    </rPh>
    <rPh sb="84" eb="86">
      <t>ガイトウ</t>
    </rPh>
    <rPh sb="86" eb="88">
      <t>シュウニュウ</t>
    </rPh>
    <rPh sb="89" eb="91">
      <t>ショトク</t>
    </rPh>
    <rPh sb="93" eb="94">
      <t>エン</t>
    </rPh>
    <rPh sb="97" eb="99">
      <t>ケイサン</t>
    </rPh>
    <phoneticPr fontId="2"/>
  </si>
  <si>
    <t>　・令和６年中の所得申告を行っていない方がいる世帯</t>
    <rPh sb="2" eb="4">
      <t>レイワ</t>
    </rPh>
    <rPh sb="5" eb="7">
      <t>ネンチュウ</t>
    </rPh>
    <rPh sb="8" eb="10">
      <t>ショトク</t>
    </rPh>
    <rPh sb="10" eb="12">
      <t>シンコク</t>
    </rPh>
    <rPh sb="13" eb="14">
      <t>オコナ</t>
    </rPh>
    <rPh sb="19" eb="20">
      <t>カタ</t>
    </rPh>
    <rPh sb="23" eb="25">
      <t>セタイ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</si>
</sst>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5" formatCode="&quot;¥&quot;#,##0;&quot;¥&quot;\-#,##0"/>
    <numFmt numFmtId="176" formatCode="#;\0;0&quot;人&quot;"/>
    <numFmt numFmtId="177" formatCode="##,###&quot;円&quot;"/>
    <numFmt numFmtId="178" formatCode="#,##0_);[Red]\(#,##0\)"/>
    <numFmt numFmtId="179" formatCode="&quot; × &quot;0&quot; 回&quot;"/>
    <numFmt numFmtId="180" formatCode="&quot;¥&quot;#,##0_);[Red]\(&quot;¥&quot;#,##0\)"/>
    <numFmt numFmtId="181" formatCode="#;\0;0"/>
  </numFmts>
  <fonts count="27">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4"/>
      <color theme="1"/>
      <name val="ＭＳ Ｐゴシック"/>
      <family val="3"/>
      <scheme val="minor"/>
    </font>
    <font>
      <u/>
      <sz val="11"/>
      <color indexed="12"/>
      <name val="ＭＳ Ｐゴシック"/>
      <family val="3"/>
      <scheme val="minor"/>
    </font>
    <font>
      <sz val="10"/>
      <color theme="1"/>
      <name val="ＭＳ Ｐゴシック"/>
      <family val="3"/>
      <scheme val="minor"/>
    </font>
    <font>
      <sz val="15"/>
      <color rgb="FFFF0000"/>
      <name val="ＭＳ Ｐゴシック"/>
      <family val="3"/>
      <scheme val="minor"/>
    </font>
    <font>
      <u/>
      <sz val="11"/>
      <color rgb="FFFF0000"/>
      <name val="ＭＳ Ｐゴシック"/>
      <family val="3"/>
      <scheme val="minor"/>
    </font>
    <font>
      <u/>
      <sz val="11"/>
      <color indexed="36"/>
      <name val="ＭＳ Ｐゴシック"/>
      <family val="3"/>
      <scheme val="minor"/>
    </font>
    <font>
      <sz val="11"/>
      <color rgb="FFFF0000"/>
      <name val="ＭＳ Ｐゴシック"/>
      <family val="3"/>
      <scheme val="minor"/>
    </font>
    <font>
      <b/>
      <sz val="11"/>
      <color theme="1"/>
      <name val="ＤＦ特太ゴシック体"/>
      <family val="3"/>
    </font>
    <font>
      <sz val="8"/>
      <color theme="1"/>
      <name val="ＭＳ Ｐゴシック"/>
      <family val="3"/>
      <scheme val="minor"/>
    </font>
    <font>
      <sz val="12"/>
      <color theme="1"/>
      <name val="ＭＳ Ｐゴシック"/>
      <family val="3"/>
      <scheme val="minor"/>
    </font>
    <font>
      <b/>
      <sz val="14"/>
      <color rgb="FF000000"/>
      <name val="ＭＳ Ｐゴシック"/>
      <family val="3"/>
      <scheme val="minor"/>
    </font>
    <font>
      <b/>
      <sz val="14"/>
      <color rgb="FFC00000"/>
      <name val="ＭＳ Ｐゴシック"/>
      <family val="3"/>
      <scheme val="minor"/>
    </font>
    <font>
      <sz val="11"/>
      <color rgb="FF000000"/>
      <name val="Calibri"/>
      <family val="2"/>
    </font>
    <font>
      <sz val="11"/>
      <color auto="1"/>
      <name val="ＭＳ Ｐゴシック"/>
      <family val="3"/>
      <scheme val="minor"/>
    </font>
    <font>
      <b/>
      <sz val="11"/>
      <color theme="1"/>
      <name val="ＭＳ Ｐゴシック"/>
      <family val="3"/>
      <scheme val="minor"/>
    </font>
    <font>
      <sz val="11"/>
      <color theme="3" tint="-0.5"/>
      <name val="ＭＳ Ｐゴシック"/>
      <family val="3"/>
      <scheme val="minor"/>
    </font>
    <font>
      <sz val="11"/>
      <color rgb="FF0070C0"/>
      <name val="ＭＳ Ｐゴシック"/>
      <family val="3"/>
      <scheme val="minor"/>
    </font>
    <font>
      <sz val="9"/>
      <color theme="1"/>
      <name val="ＭＳ Ｐゴシック"/>
      <family val="3"/>
      <scheme val="minor"/>
    </font>
    <font>
      <b/>
      <sz val="11"/>
      <color auto="1"/>
      <name val="ＭＳ Ｐゴシック"/>
      <family val="3"/>
      <scheme val="minor"/>
    </font>
    <font>
      <sz val="11"/>
      <color theme="1"/>
      <name val="HGS創英角ﾎﾟｯﾌﾟ体"/>
      <family val="3"/>
    </font>
    <font>
      <sz val="10.5"/>
      <color theme="1"/>
      <name val="Century"/>
      <family val="1"/>
    </font>
    <font>
      <sz val="11"/>
      <color theme="9" tint="-0.5"/>
      <name val="ＭＳ Ｐゴシック"/>
      <family val="3"/>
      <scheme val="minor"/>
    </font>
    <font>
      <sz val="6"/>
      <color theme="1"/>
      <name val="ＭＳ Ｐゴシック"/>
      <family val="3"/>
    </font>
    <font>
      <sz val="10.5"/>
      <color theme="1"/>
      <name val="ＭＳ Ｐゴシック"/>
      <family val="3"/>
      <scheme val="major"/>
    </font>
  </fonts>
  <fills count="19">
    <fill>
      <patternFill patternType="none"/>
    </fill>
    <fill>
      <patternFill patternType="gray125"/>
    </fill>
    <fill>
      <patternFill patternType="solid">
        <fgColor rgb="FFFFFF00"/>
        <bgColor indexed="64"/>
      </patternFill>
    </fill>
    <fill>
      <patternFill patternType="solid">
        <fgColor theme="4" tint="0.8"/>
        <bgColor indexed="64"/>
      </patternFill>
    </fill>
    <fill>
      <patternFill patternType="solid">
        <fgColor theme="5" tint="0.8"/>
        <bgColor indexed="64"/>
      </patternFill>
    </fill>
    <fill>
      <patternFill patternType="solid">
        <fgColor theme="4"/>
        <bgColor indexed="64"/>
      </patternFill>
    </fill>
    <fill>
      <patternFill patternType="solid">
        <fgColor theme="9" tint="-0.25"/>
        <bgColor indexed="64"/>
      </patternFill>
    </fill>
    <fill>
      <patternFill patternType="solid">
        <fgColor theme="1" tint="0.5"/>
        <bgColor indexed="64"/>
      </patternFill>
    </fill>
    <fill>
      <patternFill patternType="solid">
        <fgColor theme="0" tint="-0.25"/>
        <bgColor indexed="64"/>
      </patternFill>
    </fill>
    <fill>
      <patternFill patternType="solid">
        <fgColor theme="0"/>
        <bgColor indexed="64"/>
      </patternFill>
    </fill>
    <fill>
      <patternFill patternType="solid">
        <fgColor theme="8" tint="0.6"/>
        <bgColor indexed="64"/>
      </patternFill>
    </fill>
    <fill>
      <patternFill patternType="solid">
        <fgColor theme="3" tint="0.6"/>
        <bgColor indexed="64"/>
      </patternFill>
    </fill>
    <fill>
      <patternFill patternType="solid">
        <fgColor theme="7" tint="0.6"/>
        <bgColor indexed="64"/>
      </patternFill>
    </fill>
    <fill>
      <patternFill patternType="solid">
        <fgColor theme="6" tint="-0.25"/>
        <bgColor indexed="64"/>
      </patternFill>
    </fill>
    <fill>
      <patternFill patternType="solid">
        <fgColor theme="0" tint="-0.35"/>
        <bgColor indexed="64"/>
      </patternFill>
    </fill>
    <fill>
      <patternFill patternType="solid">
        <fgColor theme="7" tint="0.4"/>
        <bgColor indexed="64"/>
      </patternFill>
    </fill>
    <fill>
      <patternFill patternType="solid">
        <fgColor theme="5" tint="0.4"/>
        <bgColor indexed="64"/>
      </patternFill>
    </fill>
    <fill>
      <patternFill patternType="solid">
        <fgColor theme="9" tint="0.4"/>
        <bgColor indexed="64"/>
      </patternFill>
    </fill>
    <fill>
      <patternFill patternType="solid">
        <fgColor rgb="FFFFC000"/>
        <bgColor indexed="64"/>
      </patternFill>
    </fill>
  </fills>
  <borders count="15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auto="1"/>
      </left>
      <right/>
      <top style="medium">
        <color auto="1"/>
      </top>
      <bottom style="medium">
        <color auto="1"/>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auto="1"/>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medium">
        <color indexed="64"/>
      </right>
      <top style="medium">
        <color indexed="64"/>
      </top>
      <bottom/>
      <diagonal/>
    </border>
    <border>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medium">
        <color indexed="64"/>
      </top>
      <bottom style="thin">
        <color indexed="64"/>
      </bottom>
      <diagonal/>
    </border>
    <border>
      <left style="thin">
        <color auto="1"/>
      </left>
      <right/>
      <top style="thin">
        <color auto="1"/>
      </top>
      <bottom style="medium">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right/>
      <top style="dashed">
        <color auto="1"/>
      </top>
      <bottom/>
      <diagonal/>
    </border>
    <border>
      <left/>
      <right/>
      <top/>
      <bottom style="dashed">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style="thick">
        <color theme="3" tint="-0.5"/>
      </left>
      <right style="thick">
        <color theme="3" tint="-0.5"/>
      </right>
      <top style="thick">
        <color theme="3" tint="-0.5"/>
      </top>
      <bottom style="thick">
        <color theme="3" tint="-0.5"/>
      </bottom>
      <diagonal/>
    </border>
    <border>
      <left/>
      <right/>
      <top style="double">
        <color auto="1"/>
      </top>
      <bottom/>
      <diagonal/>
    </border>
    <border>
      <left/>
      <right/>
      <top/>
      <bottom style="double">
        <color auto="1"/>
      </bottom>
      <diagonal/>
    </border>
    <border>
      <left style="thick">
        <color theme="0"/>
      </left>
      <right style="thick">
        <color theme="0"/>
      </right>
      <top style="dashed">
        <color auto="1"/>
      </top>
      <bottom style="thick">
        <color theme="0"/>
      </bottom>
      <diagonal/>
    </border>
    <border>
      <left style="thick">
        <color theme="3" tint="-0.5"/>
      </left>
      <right style="thick">
        <color theme="3" tint="-0.5"/>
      </right>
      <top style="thin">
        <color theme="1"/>
      </top>
      <bottom style="thin">
        <color auto="1"/>
      </bottom>
      <diagonal/>
    </border>
    <border>
      <left style="thick">
        <color theme="3" tint="-0.5"/>
      </left>
      <right style="thick">
        <color theme="3" tint="-0.5"/>
      </right>
      <top style="thin">
        <color auto="1"/>
      </top>
      <bottom style="thin">
        <color auto="1"/>
      </bottom>
      <diagonal/>
    </border>
    <border>
      <left style="thick">
        <color theme="3" tint="-0.5"/>
      </left>
      <right style="thick">
        <color theme="3" tint="-0.5"/>
      </right>
      <top style="thin">
        <color auto="1"/>
      </top>
      <bottom style="thin">
        <color theme="1"/>
      </bottom>
      <diagonal/>
    </border>
    <border>
      <left style="thick">
        <color theme="9" tint="-0.5"/>
      </left>
      <right style="thick">
        <color theme="9" tint="-0.5"/>
      </right>
      <top style="thick">
        <color theme="9" tint="-0.5"/>
      </top>
      <bottom style="thick">
        <color theme="9" tint="-0.5"/>
      </bottom>
      <diagonal/>
    </border>
    <border>
      <left/>
      <right style="thin">
        <color auto="1"/>
      </right>
      <top style="thin">
        <color auto="1"/>
      </top>
      <bottom/>
      <diagonal/>
    </border>
    <border>
      <left/>
      <right/>
      <top style="thin">
        <color auto="1"/>
      </top>
      <bottom style="thin">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style="thin">
        <color auto="1"/>
      </left>
      <right style="thick">
        <color theme="3" tint="-0.5"/>
      </right>
      <top style="thin">
        <color auto="1"/>
      </top>
      <bottom style="thin">
        <color auto="1"/>
      </bottom>
      <diagonal/>
    </border>
    <border>
      <left/>
      <right/>
      <top style="thin">
        <color auto="1"/>
      </top>
      <bottom/>
      <diagonal/>
    </border>
    <border>
      <left style="thin">
        <color theme="1"/>
      </left>
      <right/>
      <top style="thin">
        <color theme="1"/>
      </top>
      <bottom/>
      <diagonal/>
    </border>
    <border>
      <left style="medium">
        <color auto="1"/>
      </left>
      <right style="thin">
        <color auto="1"/>
      </right>
      <top style="medium">
        <color auto="1"/>
      </top>
      <bottom style="medium">
        <color auto="1"/>
      </bottom>
      <diagonal/>
    </border>
    <border>
      <left style="thin">
        <color theme="1"/>
      </left>
      <right/>
      <top style="thin">
        <color theme="1"/>
      </top>
      <bottom style="thin">
        <color theme="1"/>
      </bottom>
      <diagonal/>
    </border>
    <border>
      <left/>
      <right/>
      <top style="thin">
        <color theme="1"/>
      </top>
      <bottom style="thin">
        <color auto="1"/>
      </bottom>
      <diagonal/>
    </border>
    <border>
      <left style="thin">
        <color auto="1"/>
      </left>
      <right style="thin">
        <color auto="1"/>
      </right>
      <top style="medium">
        <color auto="1"/>
      </top>
      <bottom style="medium">
        <color auto="1"/>
      </bottom>
      <diagonal/>
    </border>
    <border>
      <left/>
      <right/>
      <top style="thin">
        <color theme="1"/>
      </top>
      <bottom/>
      <diagonal/>
    </border>
    <border>
      <left/>
      <right style="thick">
        <color theme="3" tint="-0.5"/>
      </right>
      <top style="thin">
        <color theme="1"/>
      </top>
      <bottom style="thin">
        <color auto="1"/>
      </bottom>
      <diagonal/>
    </border>
    <border>
      <left/>
      <right style="thick">
        <color theme="3" tint="-0.5"/>
      </right>
      <top style="thin">
        <color auto="1"/>
      </top>
      <bottom style="thin">
        <color auto="1"/>
      </bottom>
      <diagonal/>
    </border>
    <border>
      <left/>
      <right style="thin">
        <color theme="1"/>
      </right>
      <top style="thin">
        <color theme="1"/>
      </top>
      <bottom style="thin">
        <color auto="1"/>
      </bottom>
      <diagonal/>
    </border>
    <border>
      <left/>
      <right style="thick">
        <color theme="3" tint="-0.5"/>
      </right>
      <top style="thin">
        <color auto="1"/>
      </top>
      <bottom style="thick">
        <color theme="3" tint="-0.5"/>
      </bottom>
      <diagonal/>
    </border>
    <border>
      <left style="thin">
        <color auto="1"/>
      </left>
      <right style="thin">
        <color theme="1"/>
      </right>
      <top style="thin">
        <color auto="1"/>
      </top>
      <bottom style="thick">
        <color theme="3" tint="-0.5"/>
      </bottom>
      <diagonal/>
    </border>
    <border>
      <left style="thin">
        <color theme="1"/>
      </left>
      <right style="thin">
        <color theme="1"/>
      </right>
      <top style="thin">
        <color theme="1"/>
      </top>
      <bottom style="thick">
        <color theme="3" tint="-0.5"/>
      </bottom>
      <diagonal/>
    </border>
    <border>
      <left style="thin">
        <color theme="1"/>
      </left>
      <right style="thin">
        <color theme="1"/>
      </right>
      <top style="thin">
        <color auto="1"/>
      </top>
      <bottom style="thick">
        <color theme="3" tint="-0.5"/>
      </bottom>
      <diagonal/>
    </border>
    <border>
      <left style="thin">
        <color theme="1"/>
      </left>
      <right style="thin">
        <color auto="1"/>
      </right>
      <top style="thin">
        <color auto="1"/>
      </top>
      <bottom style="thick">
        <color theme="3" tint="-0.5"/>
      </bottom>
      <diagonal/>
    </border>
    <border diagonalUp="1">
      <left style="thin">
        <color auto="1"/>
      </left>
      <right/>
      <top style="thin">
        <color auto="1"/>
      </top>
      <bottom/>
      <diagonal style="thin">
        <color auto="1"/>
      </diagonal>
    </border>
    <border diagonalUp="1">
      <left style="thin">
        <color auto="1"/>
      </left>
      <right/>
      <top/>
      <bottom style="thin">
        <color auto="1"/>
      </bottom>
      <diagonal style="thin">
        <color auto="1"/>
      </diagonal>
    </border>
    <border diagonalUp="1">
      <left/>
      <right/>
      <top style="thin">
        <color auto="1"/>
      </top>
      <bottom/>
      <diagonal style="thin">
        <color auto="1"/>
      </diagonal>
    </border>
    <border diagonalUp="1">
      <left/>
      <right style="thin">
        <color auto="1"/>
      </right>
      <top/>
      <bottom style="thin">
        <color auto="1"/>
      </bottom>
      <diagonal style="thin">
        <color auto="1"/>
      </diagonal>
    </border>
    <border>
      <left style="medium">
        <color theme="3" tint="-0.5"/>
      </left>
      <right style="medium">
        <color theme="3" tint="-0.5"/>
      </right>
      <top style="medium">
        <color theme="3" tint="-0.5"/>
      </top>
      <bottom style="medium">
        <color theme="3" tint="-0.5"/>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auto="1"/>
      </right>
      <top/>
      <bottom/>
      <diagonal/>
    </border>
    <border>
      <left style="thin">
        <color auto="1"/>
      </left>
      <right/>
      <top style="thin">
        <color auto="1"/>
      </top>
      <bottom/>
      <diagonal/>
    </border>
    <border>
      <left style="thin">
        <color indexed="64"/>
      </left>
      <right/>
      <top style="thin">
        <color indexed="64"/>
      </top>
      <bottom style="double">
        <color auto="1"/>
      </bottom>
      <diagonal/>
    </border>
    <border>
      <left style="double">
        <color auto="1"/>
      </left>
      <right/>
      <top style="double">
        <color auto="1"/>
      </top>
      <bottom style="double">
        <color auto="1"/>
      </bottom>
      <diagonal/>
    </border>
    <border>
      <left/>
      <right style="thin">
        <color auto="1"/>
      </right>
      <top style="thin">
        <color indexed="64"/>
      </top>
      <bottom style="double">
        <color auto="1"/>
      </bottom>
      <diagonal/>
    </border>
    <border>
      <left/>
      <right style="thin">
        <color auto="1"/>
      </right>
      <top style="double">
        <color auto="1"/>
      </top>
      <bottom style="double">
        <color auto="1"/>
      </bottom>
      <diagonal/>
    </border>
    <border>
      <left style="thin">
        <color auto="1"/>
      </left>
      <right/>
      <top style="thin">
        <color indexed="64"/>
      </top>
      <bottom style="double">
        <color auto="1"/>
      </bottom>
      <diagonal/>
    </border>
    <border>
      <left style="thin">
        <color auto="1"/>
      </left>
      <right/>
      <top style="double">
        <color auto="1"/>
      </top>
      <bottom style="double">
        <color auto="1"/>
      </bottom>
      <diagonal/>
    </border>
    <border>
      <left/>
      <right/>
      <top style="thin">
        <color indexed="64"/>
      </top>
      <bottom style="double">
        <color auto="1"/>
      </bottom>
      <diagonal/>
    </border>
    <border>
      <left/>
      <right/>
      <top style="double">
        <color auto="1"/>
      </top>
      <bottom style="double">
        <color auto="1"/>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theme="3" tint="-0.5"/>
      </left>
      <right style="thick">
        <color theme="3" tint="-0.5"/>
      </right>
      <top style="thick">
        <color theme="3" tint="-0.5"/>
      </top>
      <bottom style="thin">
        <color auto="1"/>
      </bottom>
      <diagonal/>
    </border>
    <border>
      <left style="thick">
        <color theme="3" tint="-0.5"/>
      </left>
      <right style="thick">
        <color theme="3" tint="-0.5"/>
      </right>
      <top style="thin">
        <color auto="1"/>
      </top>
      <bottom/>
      <diagonal/>
    </border>
    <border>
      <left style="thick">
        <color theme="3" tint="-0.5"/>
      </left>
      <right style="thick">
        <color theme="3" tint="-0.5"/>
      </right>
      <top style="thin">
        <color indexed="64"/>
      </top>
      <bottom style="thin">
        <color theme="3" tint="-0.5"/>
      </bottom>
      <diagonal/>
    </border>
    <border>
      <left style="thick">
        <color theme="3" tint="-0.5"/>
      </left>
      <right style="thick">
        <color theme="3" tint="-0.5"/>
      </right>
      <top style="thin">
        <color theme="3" tint="-0.5"/>
      </top>
      <bottom style="thin">
        <color theme="3" tint="-0.5"/>
      </bottom>
      <diagonal/>
    </border>
    <border>
      <left style="thick">
        <color theme="3" tint="-0.5"/>
      </left>
      <right style="thick">
        <color theme="3" tint="-0.5"/>
      </right>
      <top style="thin">
        <color theme="3" tint="-0.5"/>
      </top>
      <bottom style="thick">
        <color theme="3" tint="-0.5"/>
      </bottom>
      <diagonal/>
    </border>
    <border>
      <left/>
      <right style="thin">
        <color auto="1"/>
      </right>
      <top style="thick">
        <color theme="3" tint="-0.5"/>
      </top>
      <bottom style="thin">
        <color auto="1"/>
      </bottom>
      <diagonal/>
    </border>
    <border>
      <left/>
      <right style="thin">
        <color auto="1"/>
      </right>
      <top style="thin">
        <color indexed="64"/>
      </top>
      <bottom style="thin">
        <color theme="3" tint="-0.5"/>
      </bottom>
      <diagonal/>
    </border>
    <border>
      <left/>
      <right style="thin">
        <color auto="1"/>
      </right>
      <top style="thin">
        <color theme="3" tint="-0.5"/>
      </top>
      <bottom style="thin">
        <color theme="3" tint="-0.5"/>
      </bottom>
      <diagonal/>
    </border>
    <border>
      <left/>
      <right style="thin">
        <color auto="1"/>
      </right>
      <top style="thin">
        <color theme="3" tint="-0.5"/>
      </top>
      <bottom style="thick">
        <color theme="3" tint="-0.5"/>
      </bottom>
      <diagonal/>
    </border>
    <border>
      <left style="thin">
        <color auto="1"/>
      </left>
      <right style="thin">
        <color auto="1"/>
      </right>
      <top style="thick">
        <color theme="3" tint="-0.5"/>
      </top>
      <bottom style="thin">
        <color auto="1"/>
      </bottom>
      <diagonal/>
    </border>
    <border>
      <left style="thin">
        <color auto="1"/>
      </left>
      <right style="thin">
        <color auto="1"/>
      </right>
      <top style="thin">
        <color indexed="64"/>
      </top>
      <bottom style="thin">
        <color theme="3" tint="-0.5"/>
      </bottom>
      <diagonal/>
    </border>
    <border>
      <left style="thin">
        <color auto="1"/>
      </left>
      <right style="thin">
        <color auto="1"/>
      </right>
      <top style="thin">
        <color theme="3" tint="-0.5"/>
      </top>
      <bottom style="thin">
        <color theme="3" tint="-0.5"/>
      </bottom>
      <diagonal/>
    </border>
    <border>
      <left style="thin">
        <color auto="1"/>
      </left>
      <right style="thin">
        <color auto="1"/>
      </right>
      <top style="thin">
        <color theme="3" tint="-0.5"/>
      </top>
      <bottom style="thick">
        <color theme="3" tint="-0.5"/>
      </bottom>
      <diagonal/>
    </border>
    <border>
      <left style="thin">
        <color auto="1"/>
      </left>
      <right style="thick">
        <color theme="3" tint="-0.5"/>
      </right>
      <top style="thick">
        <color theme="3" tint="-0.5"/>
      </top>
      <bottom style="thin">
        <color auto="1"/>
      </bottom>
      <diagonal/>
    </border>
    <border>
      <left style="thin">
        <color auto="1"/>
      </left>
      <right style="thick">
        <color theme="3" tint="-0.5"/>
      </right>
      <top style="thin">
        <color auto="1"/>
      </top>
      <bottom/>
      <diagonal/>
    </border>
    <border>
      <left style="thin">
        <color auto="1"/>
      </left>
      <right style="thick">
        <color theme="3" tint="-0.5"/>
      </right>
      <top style="thin">
        <color indexed="64"/>
      </top>
      <bottom style="thin">
        <color theme="3" tint="-0.5"/>
      </bottom>
      <diagonal/>
    </border>
    <border>
      <left style="thin">
        <color auto="1"/>
      </left>
      <right style="thick">
        <color theme="3" tint="-0.5"/>
      </right>
      <top style="thin">
        <color theme="3" tint="-0.5"/>
      </top>
      <bottom style="thin">
        <color theme="3" tint="-0.5"/>
      </bottom>
      <diagonal/>
    </border>
    <border>
      <left style="thin">
        <color auto="1"/>
      </left>
      <right style="thick">
        <color theme="3" tint="-0.5"/>
      </right>
      <top style="thin">
        <color theme="3" tint="-0.5"/>
      </top>
      <bottom style="thick">
        <color theme="3" tint="-0.5"/>
      </bottom>
      <diagonal/>
    </border>
    <border>
      <left style="medium">
        <color rgb="FF002060"/>
      </left>
      <right style="medium">
        <color rgb="FF002060"/>
      </right>
      <top style="medium">
        <color rgb="FF002060"/>
      </top>
      <bottom style="medium">
        <color rgb="FF002060"/>
      </bottom>
      <diagonal/>
    </border>
    <border>
      <left style="thin">
        <color indexed="64"/>
      </left>
      <right style="medium">
        <color indexed="64"/>
      </right>
      <top style="thin">
        <color indexed="64"/>
      </top>
      <bottom style="thin">
        <color indexed="64"/>
      </bottom>
      <diagonal/>
    </border>
    <border>
      <left style="thin">
        <color theme="3" tint="-0.5"/>
      </left>
      <right style="thin">
        <color theme="1"/>
      </right>
      <top style="thin">
        <color theme="3" tint="-0.5"/>
      </top>
      <bottom style="thin">
        <color theme="1"/>
      </bottom>
      <diagonal/>
    </border>
    <border>
      <left style="thin">
        <color theme="3" tint="-0.5"/>
      </left>
      <right style="thin">
        <color theme="1"/>
      </right>
      <top style="thin">
        <color theme="1"/>
      </top>
      <bottom/>
      <diagonal/>
    </border>
    <border>
      <left style="thin">
        <color theme="1"/>
      </left>
      <right style="thin">
        <color theme="1"/>
      </right>
      <top style="thin">
        <color theme="3" tint="-0.5"/>
      </top>
      <bottom style="thin">
        <color theme="1"/>
      </bottom>
      <diagonal/>
    </border>
    <border>
      <left style="thin">
        <color theme="1"/>
      </left>
      <right style="thin">
        <color theme="1"/>
      </right>
      <top style="thin">
        <color theme="1"/>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medium">
        <color auto="1"/>
      </right>
      <top style="thin">
        <color auto="1"/>
      </top>
      <bottom style="thin">
        <color auto="1"/>
      </bottom>
      <diagonal/>
    </border>
    <border>
      <left style="thin">
        <color theme="1"/>
      </left>
      <right style="thin">
        <color theme="3" tint="-0.5"/>
      </right>
      <top style="thin">
        <color theme="3" tint="-0.5"/>
      </top>
      <bottom style="thin">
        <color theme="1"/>
      </bottom>
      <diagonal/>
    </border>
    <border>
      <left style="thin">
        <color theme="1"/>
      </left>
      <right style="thin">
        <color theme="3" tint="-0.5"/>
      </right>
      <top style="thin">
        <color theme="1"/>
      </top>
      <bottom/>
      <diagonal/>
    </border>
    <border>
      <left/>
      <right/>
      <top style="thin">
        <color theme="3" tint="-0.5"/>
      </top>
      <bottom/>
      <diagonal/>
    </border>
    <border>
      <left/>
      <right style="thin">
        <color theme="3" tint="-0.5"/>
      </right>
      <top/>
      <bottom/>
      <diagonal/>
    </border>
    <border>
      <left style="thin">
        <color theme="3" tint="-0.5"/>
      </left>
      <right style="thin">
        <color theme="3" tint="-0.5"/>
      </right>
      <top style="thin">
        <color theme="3" tint="-0.5"/>
      </top>
      <bottom style="thin">
        <color theme="3" tint="-0.5"/>
      </bottom>
      <diagonal/>
    </border>
    <border>
      <left style="thin">
        <color indexed="64"/>
      </left>
      <right style="thin">
        <color indexed="64"/>
      </right>
      <top/>
      <bottom/>
      <diagonal/>
    </border>
    <border>
      <left style="thin">
        <color theme="3" tint="-0.5"/>
      </left>
      <right style="thin">
        <color theme="3" tint="-0.5"/>
      </right>
      <top/>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medium">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82">
    <xf numFmtId="0" fontId="0" fillId="0" borderId="0" xfId="0">
      <alignment vertical="center"/>
    </xf>
    <xf numFmtId="0" fontId="3" fillId="0" borderId="0" xfId="0" applyFont="1">
      <alignment vertical="center"/>
    </xf>
    <xf numFmtId="0" fontId="0" fillId="0" borderId="0" xfId="0" applyAlignment="1">
      <alignment vertical="top"/>
    </xf>
    <xf numFmtId="0" fontId="0" fillId="0" borderId="0" xfId="0" applyFont="1" applyAlignment="1">
      <alignment horizontal="left" vertical="center" wrapText="1"/>
    </xf>
    <xf numFmtId="0" fontId="0" fillId="0" borderId="0" xfId="0" applyFont="1" applyBorder="1" applyAlignment="1">
      <alignment horizontal="left" vertical="top" wrapText="1"/>
    </xf>
    <xf numFmtId="0" fontId="4" fillId="0" borderId="0" xfId="3" applyFont="1" applyBorder="1" applyAlignment="1">
      <alignment horizontal="left" vertical="top"/>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Font="1" applyBorder="1">
      <alignment vertical="center"/>
    </xf>
    <xf numFmtId="0" fontId="0" fillId="0" borderId="5" xfId="0" applyBorder="1">
      <alignment vertical="center"/>
    </xf>
    <xf numFmtId="0" fontId="0" fillId="0" borderId="6" xfId="0" applyBorder="1" applyAlignment="1">
      <alignment horizontal="center" vertical="center" wrapText="1"/>
    </xf>
    <xf numFmtId="0" fontId="0" fillId="0" borderId="7" xfId="0" applyBorder="1" applyAlignment="1">
      <alignment horizontal="center" vertical="center"/>
    </xf>
    <xf numFmtId="0" fontId="5" fillId="0" borderId="0" xfId="0" applyFont="1" applyAlignment="1">
      <alignment vertical="top"/>
    </xf>
    <xf numFmtId="0" fontId="6" fillId="2" borderId="8" xfId="0" applyFont="1" applyFill="1" applyBorder="1" applyAlignment="1">
      <alignment horizontal="left" vertical="center"/>
    </xf>
    <xf numFmtId="0" fontId="7" fillId="3" borderId="9" xfId="0" applyFont="1" applyFill="1" applyBorder="1" applyAlignment="1">
      <alignment horizontal="left" vertical="center" wrapText="1"/>
    </xf>
    <xf numFmtId="0" fontId="8" fillId="3" borderId="9" xfId="3" applyFont="1" applyFill="1" applyBorder="1" applyAlignment="1">
      <alignment horizontal="left" vertical="top" wrapText="1"/>
    </xf>
    <xf numFmtId="0" fontId="9" fillId="3" borderId="9"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0" fillId="0" borderId="0" xfId="0" applyFont="1" applyBorder="1" applyAlignment="1">
      <alignment horizontal="left" vertical="top"/>
    </xf>
    <xf numFmtId="0" fontId="0" fillId="0" borderId="11" xfId="0" applyFont="1" applyBorder="1" applyAlignment="1">
      <alignment vertical="center" wrapText="1"/>
    </xf>
    <xf numFmtId="0" fontId="0" fillId="4" borderId="12" xfId="0" applyFill="1" applyBorder="1" applyProtection="1">
      <alignment vertical="center"/>
      <protection locked="0"/>
    </xf>
    <xf numFmtId="0" fontId="0" fillId="4" borderId="13" xfId="0" applyFont="1" applyFill="1" applyBorder="1" applyProtection="1">
      <alignment vertical="center"/>
      <protection locked="0"/>
    </xf>
    <xf numFmtId="176" fontId="0" fillId="0" borderId="5" xfId="0" applyNumberFormat="1"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7" fillId="3" borderId="0" xfId="0" applyFont="1" applyFill="1" applyBorder="1" applyAlignment="1">
      <alignment horizontal="left" vertical="center" wrapText="1"/>
    </xf>
    <xf numFmtId="0" fontId="4" fillId="3" borderId="0" xfId="3" applyFill="1" applyBorder="1" applyAlignment="1">
      <alignment horizontal="left" vertical="top" wrapText="1"/>
    </xf>
    <xf numFmtId="0" fontId="9" fillId="3" borderId="0" xfId="0"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ont="1" applyFill="1" applyAlignment="1">
      <alignment horizontal="left" vertical="center"/>
    </xf>
    <xf numFmtId="0" fontId="0" fillId="3" borderId="8" xfId="0" applyFont="1" applyFill="1" applyBorder="1" applyAlignment="1">
      <alignment horizontal="left" vertical="center"/>
    </xf>
    <xf numFmtId="38" fontId="0" fillId="4" borderId="12" xfId="4" applyFont="1" applyFill="1" applyBorder="1" applyProtection="1">
      <alignment vertical="center"/>
      <protection locked="0"/>
    </xf>
    <xf numFmtId="38" fontId="0" fillId="4" borderId="13" xfId="4" applyFont="1" applyFill="1" applyBorder="1" applyProtection="1">
      <alignment vertical="center"/>
      <protection locked="0"/>
    </xf>
    <xf numFmtId="177" fontId="0" fillId="0" borderId="14" xfId="0" applyNumberFormat="1" applyBorder="1" applyAlignment="1">
      <alignment horizontal="center" vertical="center"/>
    </xf>
    <xf numFmtId="177" fontId="0" fillId="0" borderId="15" xfId="0" applyNumberFormat="1" applyBorder="1" applyAlignment="1">
      <alignment horizontal="center" vertical="center"/>
    </xf>
    <xf numFmtId="177" fontId="0" fillId="0" borderId="16" xfId="0" applyNumberFormat="1" applyBorder="1" applyAlignment="1">
      <alignment horizontal="center" vertical="center"/>
    </xf>
    <xf numFmtId="177" fontId="0" fillId="0" borderId="17" xfId="0" applyNumberFormat="1" applyBorder="1" applyAlignment="1">
      <alignment horizontal="center" vertical="center"/>
    </xf>
    <xf numFmtId="0" fontId="0" fillId="0" borderId="18" xfId="0" applyBorder="1" applyAlignment="1">
      <alignment vertical="center" wrapText="1"/>
    </xf>
    <xf numFmtId="38" fontId="0" fillId="4" borderId="19" xfId="4" applyFont="1" applyFill="1" applyBorder="1" applyProtection="1">
      <alignment vertical="center"/>
      <protection locked="0"/>
    </xf>
    <xf numFmtId="38" fontId="0" fillId="4" borderId="20" xfId="4" applyFont="1" applyFill="1" applyBorder="1" applyProtection="1">
      <alignment vertical="center"/>
      <protection locked="0"/>
    </xf>
    <xf numFmtId="0" fontId="8" fillId="0" borderId="21" xfId="3" applyFont="1" applyBorder="1" applyAlignment="1">
      <alignment vertical="center" wrapText="1"/>
    </xf>
    <xf numFmtId="38" fontId="0" fillId="4" borderId="22" xfId="4" applyFont="1" applyFill="1" applyBorder="1" applyProtection="1">
      <alignment vertical="center"/>
      <protection locked="0"/>
    </xf>
    <xf numFmtId="38" fontId="0" fillId="4" borderId="23" xfId="4" applyFont="1" applyFill="1" applyBorder="1" applyProtection="1">
      <alignment vertical="center"/>
      <protection locked="0"/>
    </xf>
    <xf numFmtId="38" fontId="0" fillId="4" borderId="24" xfId="4" applyFont="1" applyFill="1" applyBorder="1" applyProtection="1">
      <alignment vertical="center"/>
      <protection locked="0"/>
    </xf>
    <xf numFmtId="0" fontId="7" fillId="3" borderId="25" xfId="0" applyFont="1" applyFill="1" applyBorder="1" applyAlignment="1">
      <alignment horizontal="left" vertical="center" wrapText="1"/>
    </xf>
    <xf numFmtId="0" fontId="4" fillId="3" borderId="25" xfId="3" applyFill="1" applyBorder="1" applyAlignment="1">
      <alignment horizontal="left" vertical="top" wrapText="1"/>
    </xf>
    <xf numFmtId="0" fontId="9" fillId="3" borderId="25" xfId="0" applyFont="1" applyFill="1" applyBorder="1" applyAlignment="1">
      <alignment horizontal="left" vertical="center"/>
    </xf>
    <xf numFmtId="0" fontId="0" fillId="3" borderId="25" xfId="0" applyFont="1" applyFill="1" applyBorder="1" applyAlignment="1">
      <alignment horizontal="left" vertical="center"/>
    </xf>
    <xf numFmtId="0" fontId="0" fillId="3" borderId="26" xfId="0" applyFont="1" applyFill="1" applyBorder="1" applyAlignment="1">
      <alignment horizontal="left" vertical="center"/>
    </xf>
    <xf numFmtId="0" fontId="0" fillId="0" borderId="27" xfId="0" applyFont="1" applyBorder="1" applyAlignment="1">
      <alignment vertical="center" wrapText="1"/>
    </xf>
    <xf numFmtId="0" fontId="0" fillId="4" borderId="24" xfId="0" applyFill="1" applyBorder="1" applyProtection="1">
      <alignment vertical="center"/>
      <protection locked="0"/>
    </xf>
    <xf numFmtId="0" fontId="10" fillId="0" borderId="0" xfId="0" applyFont="1">
      <alignment vertical="center"/>
    </xf>
    <xf numFmtId="0" fontId="10" fillId="0" borderId="0" xfId="0" applyFont="1" applyAlignment="1">
      <alignment horizontal="center" vertical="center" wrapText="1"/>
    </xf>
    <xf numFmtId="0" fontId="0" fillId="0" borderId="1" xfId="0" applyBorder="1" applyAlignment="1">
      <alignment horizontal="center" vertical="center"/>
    </xf>
    <xf numFmtId="5" fontId="0" fillId="5" borderId="4" xfId="0" applyNumberFormat="1" applyFill="1" applyBorder="1">
      <alignment vertical="center"/>
    </xf>
    <xf numFmtId="0" fontId="5" fillId="0" borderId="12" xfId="0" applyFont="1" applyBorder="1">
      <alignment vertical="center"/>
    </xf>
    <xf numFmtId="0" fontId="0" fillId="2" borderId="12" xfId="0" applyFill="1" applyBorder="1" applyProtection="1">
      <alignment vertical="center"/>
      <protection locked="0"/>
    </xf>
    <xf numFmtId="0" fontId="0" fillId="0" borderId="12"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0" fillId="0" borderId="12" xfId="0" applyNumberFormat="1" applyBorder="1">
      <alignment vertical="center"/>
    </xf>
    <xf numFmtId="5" fontId="0" fillId="5" borderId="13" xfId="0" applyNumberFormat="1" applyFill="1" applyBorder="1">
      <alignment vertical="center"/>
    </xf>
    <xf numFmtId="5" fontId="0" fillId="0" borderId="12" xfId="0" applyNumberFormat="1" applyBorder="1" applyAlignment="1">
      <alignment horizontal="right" vertical="center"/>
    </xf>
    <xf numFmtId="5" fontId="0" fillId="0" borderId="12" xfId="0" applyNumberFormat="1" applyBorder="1">
      <alignment vertical="center"/>
    </xf>
    <xf numFmtId="0" fontId="0" fillId="0" borderId="19" xfId="0" applyBorder="1" applyAlignment="1">
      <alignment horizontal="center" vertical="center"/>
    </xf>
    <xf numFmtId="5" fontId="0" fillId="0" borderId="19" xfId="0" applyNumberFormat="1" applyBorder="1" applyAlignment="1">
      <alignment horizontal="right" vertical="center"/>
    </xf>
    <xf numFmtId="179" fontId="0" fillId="0" borderId="0" xfId="0" applyNumberFormat="1">
      <alignment vertical="center"/>
    </xf>
    <xf numFmtId="0" fontId="5" fillId="0" borderId="11" xfId="0" applyFont="1" applyBorder="1" applyAlignment="1">
      <alignment horizontal="center" vertical="center"/>
    </xf>
    <xf numFmtId="0" fontId="0" fillId="0" borderId="28" xfId="0" applyBorder="1" applyAlignment="1">
      <alignment horizontal="center" vertical="center"/>
    </xf>
    <xf numFmtId="5" fontId="0" fillId="0" borderId="28" xfId="0" applyNumberFormat="1" applyBorder="1" applyAlignment="1">
      <alignment horizontal="right" vertical="center"/>
    </xf>
    <xf numFmtId="0" fontId="0" fillId="0" borderId="29" xfId="0" applyBorder="1" applyAlignment="1">
      <alignment horizontal="center" vertical="center"/>
    </xf>
    <xf numFmtId="5" fontId="0" fillId="6" borderId="24" xfId="0" applyNumberFormat="1" applyFill="1" applyBorder="1">
      <alignment vertical="center"/>
    </xf>
    <xf numFmtId="0" fontId="5" fillId="0" borderId="12" xfId="0" applyFont="1" applyBorder="1" applyAlignment="1">
      <alignment horizontal="center" vertical="center"/>
    </xf>
    <xf numFmtId="0" fontId="11" fillId="7" borderId="0" xfId="0" applyFont="1" applyFill="1" applyAlignment="1">
      <alignment vertical="center" wrapText="1"/>
    </xf>
    <xf numFmtId="3" fontId="0" fillId="8" borderId="0" xfId="0" applyNumberFormat="1" applyFill="1">
      <alignment vertical="center"/>
    </xf>
    <xf numFmtId="0" fontId="0" fillId="0" borderId="30" xfId="0" applyBorder="1">
      <alignment vertical="center"/>
    </xf>
    <xf numFmtId="5" fontId="0" fillId="0" borderId="31" xfId="0" applyNumberFormat="1" applyBorder="1">
      <alignment vertical="center"/>
    </xf>
    <xf numFmtId="0" fontId="0" fillId="7" borderId="0" xfId="0" applyFill="1">
      <alignment vertical="center"/>
    </xf>
    <xf numFmtId="0" fontId="0" fillId="8" borderId="0" xfId="0" applyFill="1">
      <alignment vertical="center"/>
    </xf>
    <xf numFmtId="0" fontId="0" fillId="0" borderId="32" xfId="0" applyBorder="1" applyAlignment="1">
      <alignment horizontal="center" vertical="center"/>
    </xf>
    <xf numFmtId="180" fontId="1" fillId="0" borderId="13" xfId="1" applyNumberFormat="1" applyFont="1" applyBorder="1" applyAlignment="1">
      <alignment horizontal="right" vertical="center"/>
    </xf>
    <xf numFmtId="180" fontId="0" fillId="0" borderId="33" xfId="0" applyNumberFormat="1" applyBorder="1" applyAlignment="1">
      <alignment horizontal="right" vertical="center"/>
    </xf>
    <xf numFmtId="0" fontId="5" fillId="7" borderId="0" xfId="0" applyFont="1" applyFill="1" applyAlignment="1">
      <alignment vertical="center" wrapText="1"/>
    </xf>
    <xf numFmtId="38" fontId="0" fillId="8" borderId="0" xfId="1" applyFont="1" applyFill="1">
      <alignment vertical="center"/>
    </xf>
    <xf numFmtId="0" fontId="0" fillId="0" borderId="34" xfId="0" applyBorder="1" applyAlignment="1">
      <alignment horizontal="center" vertical="center"/>
    </xf>
    <xf numFmtId="180" fontId="1" fillId="0" borderId="35" xfId="1" applyNumberFormat="1" applyFont="1" applyBorder="1" applyAlignment="1">
      <alignment horizontal="right" vertical="center"/>
    </xf>
    <xf numFmtId="5" fontId="0" fillId="0" borderId="24" xfId="0" applyNumberFormat="1" applyBorder="1">
      <alignment vertical="center"/>
    </xf>
    <xf numFmtId="180" fontId="0" fillId="0" borderId="24" xfId="0" applyNumberFormat="1" applyBorder="1">
      <alignment vertical="center"/>
    </xf>
    <xf numFmtId="0" fontId="0" fillId="7" borderId="0" xfId="0" applyFill="1" applyAlignment="1">
      <alignment vertical="center" wrapText="1"/>
    </xf>
    <xf numFmtId="181" fontId="0" fillId="8" borderId="0" xfId="0" applyNumberFormat="1" applyFill="1">
      <alignment vertical="center"/>
    </xf>
    <xf numFmtId="5" fontId="0" fillId="0" borderId="0" xfId="0" applyNumberFormat="1" applyBorder="1">
      <alignment vertical="center"/>
    </xf>
    <xf numFmtId="0" fontId="0" fillId="8" borderId="0" xfId="0" applyFill="1" applyAlignment="1">
      <alignment horizontal="right" vertical="center"/>
    </xf>
    <xf numFmtId="1" fontId="0" fillId="8" borderId="0" xfId="0" applyNumberFormat="1" applyFill="1">
      <alignment vertical="center"/>
    </xf>
    <xf numFmtId="0" fontId="0" fillId="8" borderId="5" xfId="0" applyFill="1" applyBorder="1">
      <alignment vertical="center"/>
    </xf>
    <xf numFmtId="0" fontId="0" fillId="0" borderId="0" xfId="0" applyFont="1" applyFill="1">
      <alignment vertical="center"/>
    </xf>
    <xf numFmtId="0" fontId="1" fillId="0" borderId="36" xfId="2" applyBorder="1">
      <alignment vertical="center"/>
    </xf>
    <xf numFmtId="0" fontId="1" fillId="0" borderId="37" xfId="2" applyBorder="1">
      <alignment vertical="center"/>
    </xf>
    <xf numFmtId="0" fontId="1" fillId="0" borderId="38" xfId="2" applyBorder="1">
      <alignment vertical="center"/>
    </xf>
    <xf numFmtId="0" fontId="1" fillId="0" borderId="39" xfId="2" applyBorder="1">
      <alignment vertical="center"/>
    </xf>
    <xf numFmtId="0" fontId="1" fillId="0" borderId="40" xfId="2" applyBorder="1">
      <alignment vertical="center"/>
    </xf>
    <xf numFmtId="0" fontId="1" fillId="0" borderId="41" xfId="2" applyBorder="1">
      <alignment vertical="center"/>
    </xf>
    <xf numFmtId="0" fontId="1" fillId="0" borderId="12" xfId="2" applyFont="1" applyBorder="1">
      <alignment vertical="center"/>
    </xf>
    <xf numFmtId="0" fontId="1" fillId="0" borderId="42" xfId="2" applyBorder="1">
      <alignment vertical="center"/>
    </xf>
    <xf numFmtId="0" fontId="1" fillId="0" borderId="19" xfId="2" applyBorder="1">
      <alignment vertical="center"/>
    </xf>
    <xf numFmtId="0" fontId="12" fillId="0" borderId="0" xfId="2" applyFont="1" applyAlignment="1">
      <alignment horizontal="left" vertical="top" wrapText="1"/>
    </xf>
    <xf numFmtId="0" fontId="0" fillId="0" borderId="0" xfId="2" applyFont="1" applyAlignment="1">
      <alignment horizontal="left" vertical="top" wrapText="1"/>
    </xf>
    <xf numFmtId="0" fontId="13" fillId="0" borderId="43" xfId="2" applyFont="1" applyBorder="1">
      <alignment vertical="center"/>
    </xf>
    <xf numFmtId="0" fontId="14" fillId="0" borderId="44" xfId="2" applyFont="1" applyBorder="1">
      <alignment vertical="center"/>
    </xf>
    <xf numFmtId="0" fontId="15" fillId="0" borderId="45" xfId="2" applyFont="1" applyBorder="1">
      <alignment vertical="center"/>
    </xf>
    <xf numFmtId="3" fontId="1" fillId="0" borderId="22" xfId="2" applyNumberFormat="1" applyBorder="1">
      <alignment vertical="center"/>
    </xf>
    <xf numFmtId="3" fontId="1" fillId="0" borderId="12" xfId="2" applyNumberFormat="1" applyBorder="1">
      <alignment vertical="center"/>
    </xf>
    <xf numFmtId="3" fontId="1" fillId="0" borderId="0" xfId="2" applyNumberFormat="1" applyBorder="1">
      <alignment vertical="center"/>
    </xf>
    <xf numFmtId="0" fontId="1" fillId="0" borderId="41" xfId="2" applyBorder="1" applyAlignment="1">
      <alignment horizontal="center" vertical="center"/>
    </xf>
    <xf numFmtId="0" fontId="1" fillId="0" borderId="46" xfId="2" applyBorder="1">
      <alignment vertical="center"/>
    </xf>
    <xf numFmtId="3" fontId="1" fillId="0" borderId="46" xfId="2" applyNumberFormat="1" applyBorder="1">
      <alignment vertical="center"/>
    </xf>
    <xf numFmtId="0" fontId="1" fillId="0" borderId="47" xfId="2" applyBorder="1">
      <alignment vertical="center"/>
    </xf>
    <xf numFmtId="0" fontId="1" fillId="0" borderId="48" xfId="2" applyBorder="1">
      <alignment vertical="center"/>
    </xf>
    <xf numFmtId="0" fontId="1" fillId="0" borderId="49" xfId="2" applyBorder="1">
      <alignment vertical="center"/>
    </xf>
    <xf numFmtId="0" fontId="0" fillId="0" borderId="12" xfId="0" applyBorder="1">
      <alignment vertical="center"/>
    </xf>
    <xf numFmtId="3" fontId="0" fillId="0" borderId="12" xfId="0" applyNumberFormat="1" applyBorder="1">
      <alignment vertical="center"/>
    </xf>
    <xf numFmtId="3" fontId="1" fillId="9" borderId="0" xfId="2" applyNumberFormat="1" applyFill="1" applyBorder="1">
      <alignment vertical="center"/>
    </xf>
    <xf numFmtId="0" fontId="1" fillId="0" borderId="50" xfId="2" applyBorder="1" applyAlignment="1">
      <alignment horizontal="center" vertical="center"/>
    </xf>
    <xf numFmtId="0" fontId="1" fillId="0" borderId="51" xfId="2" applyBorder="1" applyAlignment="1">
      <alignment horizontal="center" vertical="center"/>
    </xf>
    <xf numFmtId="0" fontId="1" fillId="0" borderId="52" xfId="2" applyBorder="1" applyAlignment="1">
      <alignment horizontal="center" vertical="center"/>
    </xf>
    <xf numFmtId="3" fontId="0" fillId="0" borderId="19" xfId="0" applyNumberFormat="1" applyBorder="1">
      <alignment vertical="center"/>
    </xf>
    <xf numFmtId="0" fontId="1" fillId="0" borderId="22" xfId="2" applyBorder="1" applyAlignment="1">
      <alignment horizontal="center" vertical="center"/>
    </xf>
    <xf numFmtId="0" fontId="1" fillId="2" borderId="41" xfId="2" applyFill="1" applyBorder="1">
      <alignment vertical="center"/>
    </xf>
    <xf numFmtId="3" fontId="1" fillId="2" borderId="53" xfId="2" applyNumberFormat="1" applyFill="1" applyBorder="1">
      <alignment vertical="center"/>
    </xf>
    <xf numFmtId="0" fontId="1" fillId="0" borderId="54" xfId="2" applyBorder="1">
      <alignment vertical="center"/>
    </xf>
    <xf numFmtId="0" fontId="1" fillId="0" borderId="51" xfId="2" applyBorder="1">
      <alignment vertical="center"/>
    </xf>
    <xf numFmtId="0" fontId="16" fillId="10" borderId="28" xfId="2" applyFont="1" applyFill="1" applyBorder="1" applyAlignment="1">
      <alignment vertical="center" wrapText="1"/>
    </xf>
    <xf numFmtId="3" fontId="16" fillId="10" borderId="28" xfId="2" applyNumberFormat="1" applyFont="1" applyFill="1" applyBorder="1">
      <alignment vertical="center"/>
    </xf>
    <xf numFmtId="0" fontId="1" fillId="9" borderId="0" xfId="2" applyFill="1" applyBorder="1">
      <alignment vertical="center"/>
    </xf>
    <xf numFmtId="0" fontId="17" fillId="0" borderId="0" xfId="2" applyFont="1" applyAlignment="1">
      <alignment horizontal="center" vertical="center"/>
    </xf>
    <xf numFmtId="0" fontId="11" fillId="0" borderId="41" xfId="2" applyFont="1" applyBorder="1">
      <alignment vertical="center"/>
    </xf>
    <xf numFmtId="3" fontId="1" fillId="0" borderId="46" xfId="2" applyNumberFormat="1" applyBorder="1" applyAlignment="1">
      <alignment horizontal="right" vertical="center"/>
    </xf>
    <xf numFmtId="0" fontId="1" fillId="0" borderId="53" xfId="2" applyBorder="1">
      <alignment vertical="center"/>
    </xf>
    <xf numFmtId="0" fontId="1" fillId="9" borderId="55" xfId="2" applyFill="1" applyBorder="1" applyAlignment="1">
      <alignment horizontal="center" vertical="center" wrapText="1"/>
    </xf>
    <xf numFmtId="0" fontId="1" fillId="9" borderId="28" xfId="2" applyFill="1" applyBorder="1">
      <alignment vertical="center"/>
    </xf>
    <xf numFmtId="0" fontId="1" fillId="9" borderId="12" xfId="2" applyFill="1" applyBorder="1">
      <alignment vertical="center"/>
    </xf>
    <xf numFmtId="0" fontId="1" fillId="0" borderId="56" xfId="2" applyBorder="1">
      <alignment vertical="center"/>
    </xf>
    <xf numFmtId="0" fontId="1" fillId="0" borderId="57" xfId="2" applyBorder="1">
      <alignment vertical="center"/>
    </xf>
    <xf numFmtId="0" fontId="1" fillId="0" borderId="58" xfId="2" applyBorder="1">
      <alignment vertical="center"/>
    </xf>
    <xf numFmtId="0" fontId="1" fillId="0" borderId="59" xfId="2" applyBorder="1">
      <alignment vertical="center"/>
    </xf>
    <xf numFmtId="0" fontId="1" fillId="0" borderId="60" xfId="2" applyBorder="1">
      <alignment vertical="center"/>
    </xf>
    <xf numFmtId="0" fontId="1" fillId="0" borderId="61" xfId="2" applyBorder="1">
      <alignment vertical="center"/>
    </xf>
    <xf numFmtId="0" fontId="11" fillId="0" borderId="0" xfId="2" applyFont="1">
      <alignment vertical="center"/>
    </xf>
    <xf numFmtId="0" fontId="17" fillId="0" borderId="0" xfId="2" applyFont="1">
      <alignment vertical="center"/>
    </xf>
    <xf numFmtId="0" fontId="1" fillId="0" borderId="22" xfId="2" applyBorder="1">
      <alignment vertical="center"/>
    </xf>
    <xf numFmtId="0" fontId="1" fillId="0" borderId="62" xfId="2" applyBorder="1">
      <alignment vertical="center"/>
    </xf>
    <xf numFmtId="14" fontId="0" fillId="0" borderId="0" xfId="2" applyNumberFormat="1" applyFont="1">
      <alignment vertical="center"/>
    </xf>
    <xf numFmtId="0" fontId="1" fillId="0" borderId="63" xfId="2" applyBorder="1" applyAlignment="1">
      <alignment horizontal="center" vertical="center"/>
    </xf>
    <xf numFmtId="0" fontId="1" fillId="0" borderId="64" xfId="2" applyBorder="1" applyAlignment="1">
      <alignment horizontal="center" vertical="center"/>
    </xf>
    <xf numFmtId="14" fontId="1" fillId="0" borderId="12" xfId="2" applyNumberFormat="1" applyBorder="1">
      <alignment vertical="center"/>
    </xf>
    <xf numFmtId="0" fontId="9" fillId="0" borderId="0" xfId="2" applyFont="1">
      <alignment vertical="center"/>
    </xf>
    <xf numFmtId="0" fontId="18" fillId="0" borderId="0" xfId="2" applyFont="1">
      <alignment vertical="center"/>
    </xf>
    <xf numFmtId="0" fontId="19" fillId="2" borderId="65" xfId="2" applyFont="1" applyFill="1" applyBorder="1">
      <alignment vertical="center"/>
    </xf>
    <xf numFmtId="0" fontId="1" fillId="9" borderId="14" xfId="2" applyFill="1" applyBorder="1">
      <alignment vertical="center"/>
    </xf>
    <xf numFmtId="0" fontId="1" fillId="2" borderId="66" xfId="2" applyFill="1" applyBorder="1">
      <alignment vertical="center"/>
    </xf>
    <xf numFmtId="0" fontId="1" fillId="0" borderId="55" xfId="2" applyBorder="1" applyAlignment="1">
      <alignment horizontal="center" vertical="center"/>
    </xf>
    <xf numFmtId="0" fontId="1" fillId="0" borderId="0" xfId="2" applyFill="1" applyBorder="1" applyAlignment="1">
      <alignment horizontal="center" vertical="center"/>
    </xf>
    <xf numFmtId="0" fontId="1" fillId="0" borderId="67" xfId="2" applyBorder="1" applyAlignment="1">
      <alignment horizontal="center" vertical="center"/>
    </xf>
    <xf numFmtId="3" fontId="1" fillId="2" borderId="68" xfId="2" applyNumberFormat="1" applyFill="1" applyBorder="1">
      <alignment vertical="center"/>
    </xf>
    <xf numFmtId="0" fontId="0" fillId="9" borderId="0" xfId="0" applyFill="1" applyBorder="1">
      <alignment vertical="center"/>
    </xf>
    <xf numFmtId="0" fontId="1" fillId="0" borderId="69" xfId="2" applyBorder="1" applyAlignment="1">
      <alignment horizontal="center" vertical="center"/>
    </xf>
    <xf numFmtId="0" fontId="1" fillId="0" borderId="0" xfId="2" applyBorder="1">
      <alignment vertical="center"/>
    </xf>
    <xf numFmtId="0" fontId="1" fillId="0" borderId="63" xfId="2" applyBorder="1">
      <alignment vertical="center"/>
    </xf>
    <xf numFmtId="0" fontId="1" fillId="0" borderId="70" xfId="2" applyBorder="1">
      <alignment vertical="center"/>
    </xf>
    <xf numFmtId="0" fontId="1" fillId="0" borderId="71" xfId="2" applyBorder="1">
      <alignment vertical="center"/>
    </xf>
    <xf numFmtId="0" fontId="1" fillId="0" borderId="72" xfId="2" applyBorder="1">
      <alignment vertical="center"/>
    </xf>
    <xf numFmtId="0" fontId="1" fillId="0" borderId="73" xfId="2" applyBorder="1">
      <alignment vertical="center"/>
    </xf>
    <xf numFmtId="0" fontId="1" fillId="0" borderId="74" xfId="2" applyBorder="1" applyAlignment="1">
      <alignment horizontal="center" vertical="center"/>
    </xf>
    <xf numFmtId="38" fontId="1" fillId="0" borderId="46" xfId="1" applyFont="1" applyBorder="1">
      <alignment vertical="center"/>
    </xf>
    <xf numFmtId="0" fontId="1" fillId="0" borderId="75" xfId="2" applyBorder="1" applyAlignment="1">
      <alignment horizontal="center" vertical="center"/>
    </xf>
    <xf numFmtId="0" fontId="1" fillId="0" borderId="76" xfId="2" applyBorder="1" applyAlignment="1">
      <alignment horizontal="center" vertical="center"/>
    </xf>
    <xf numFmtId="0" fontId="0" fillId="9" borderId="0" xfId="2" applyFont="1" applyFill="1">
      <alignment vertical="center"/>
    </xf>
    <xf numFmtId="0" fontId="20" fillId="0" borderId="0" xfId="2" applyFont="1">
      <alignment vertical="center"/>
    </xf>
    <xf numFmtId="0" fontId="1" fillId="0" borderId="77" xfId="2" applyBorder="1" applyAlignment="1">
      <alignment horizontal="center" vertical="center"/>
    </xf>
    <xf numFmtId="0" fontId="12" fillId="0" borderId="0" xfId="2" applyFont="1" applyAlignment="1">
      <alignment horizontal="left" vertical="center"/>
    </xf>
    <xf numFmtId="0" fontId="21" fillId="0" borderId="0" xfId="2" applyFont="1">
      <alignment vertical="center"/>
    </xf>
    <xf numFmtId="0" fontId="1" fillId="0" borderId="78" xfId="2" applyBorder="1">
      <alignment vertical="center"/>
    </xf>
    <xf numFmtId="0" fontId="1" fillId="0" borderId="79" xfId="2" applyBorder="1">
      <alignment vertical="center"/>
    </xf>
    <xf numFmtId="0" fontId="1" fillId="0" borderId="80" xfId="2" applyBorder="1">
      <alignment vertical="center"/>
    </xf>
    <xf numFmtId="0" fontId="1" fillId="0" borderId="81" xfId="2" applyBorder="1">
      <alignment vertical="center"/>
    </xf>
    <xf numFmtId="0" fontId="1" fillId="0" borderId="12" xfId="2" applyBorder="1" applyAlignment="1">
      <alignment vertical="center" shrinkToFit="1"/>
    </xf>
    <xf numFmtId="181" fontId="1" fillId="0" borderId="12" xfId="2" applyNumberFormat="1" applyFont="1" applyFill="1" applyBorder="1">
      <alignment vertical="center"/>
    </xf>
    <xf numFmtId="0" fontId="1" fillId="0" borderId="12" xfId="2" applyBorder="1" applyProtection="1">
      <alignment vertical="center"/>
      <protection locked="0"/>
    </xf>
    <xf numFmtId="0" fontId="1" fillId="0" borderId="41" xfId="2" applyBorder="1" applyProtection="1">
      <alignment vertical="center"/>
      <protection locked="0"/>
    </xf>
    <xf numFmtId="0" fontId="1" fillId="0" borderId="82" xfId="2" applyBorder="1" applyProtection="1">
      <alignment vertical="center"/>
      <protection locked="0"/>
    </xf>
    <xf numFmtId="0" fontId="11" fillId="0" borderId="12" xfId="2" applyFont="1" applyBorder="1" applyAlignment="1">
      <alignment horizontal="center" vertical="center"/>
    </xf>
    <xf numFmtId="0" fontId="1" fillId="0" borderId="83" xfId="2" applyBorder="1">
      <alignment vertical="center"/>
    </xf>
    <xf numFmtId="0" fontId="0" fillId="0" borderId="84" xfId="0" applyFont="1" applyBorder="1" applyAlignment="1">
      <alignment horizontal="center" vertical="center"/>
    </xf>
    <xf numFmtId="0" fontId="1" fillId="0" borderId="84" xfId="2" applyFont="1" applyBorder="1" applyAlignment="1">
      <alignment horizontal="center" vertical="center"/>
    </xf>
    <xf numFmtId="0" fontId="1" fillId="0" borderId="82" xfId="2" applyBorder="1">
      <alignment vertical="center"/>
    </xf>
    <xf numFmtId="0" fontId="20" fillId="0" borderId="12" xfId="2" applyFont="1" applyBorder="1" applyAlignment="1">
      <alignment horizontal="center" vertical="center"/>
    </xf>
    <xf numFmtId="0" fontId="11" fillId="0" borderId="19" xfId="2" applyFont="1" applyBorder="1" applyAlignment="1">
      <alignment horizontal="center" vertical="center"/>
    </xf>
    <xf numFmtId="181" fontId="1" fillId="0" borderId="19" xfId="2" applyNumberFormat="1" applyFont="1" applyBorder="1">
      <alignment vertical="center"/>
    </xf>
    <xf numFmtId="3" fontId="1" fillId="0" borderId="19" xfId="2" applyNumberFormat="1" applyBorder="1">
      <alignment vertical="center"/>
    </xf>
    <xf numFmtId="0" fontId="11" fillId="0" borderId="12" xfId="2" applyFont="1" applyBorder="1" applyAlignment="1">
      <alignment horizontal="center" vertical="center" shrinkToFit="1"/>
    </xf>
    <xf numFmtId="38" fontId="0" fillId="0" borderId="0" xfId="1" applyFont="1">
      <alignment vertical="center"/>
    </xf>
    <xf numFmtId="0" fontId="17" fillId="2" borderId="7" xfId="2" applyFont="1" applyFill="1" applyBorder="1" applyAlignment="1">
      <alignment horizontal="center" vertical="center"/>
    </xf>
    <xf numFmtId="0" fontId="1" fillId="0" borderId="85" xfId="2" applyFont="1" applyBorder="1" applyAlignment="1">
      <alignment horizontal="center" vertical="center"/>
    </xf>
    <xf numFmtId="0" fontId="12" fillId="0" borderId="86" xfId="2" applyFont="1" applyBorder="1" applyAlignment="1">
      <alignment horizontal="center" vertical="center"/>
    </xf>
    <xf numFmtId="0" fontId="1" fillId="11" borderId="28" xfId="2" applyFont="1" applyFill="1" applyBorder="1">
      <alignment vertical="center"/>
    </xf>
    <xf numFmtId="0" fontId="5" fillId="11" borderId="28" xfId="2" applyFont="1" applyFill="1" applyBorder="1">
      <alignment vertical="center"/>
    </xf>
    <xf numFmtId="0" fontId="17" fillId="2" borderId="87" xfId="2" applyFont="1" applyFill="1" applyBorder="1" applyAlignment="1">
      <alignment horizontal="center" vertical="center"/>
    </xf>
    <xf numFmtId="0" fontId="0" fillId="0" borderId="82" xfId="0" applyBorder="1" applyProtection="1">
      <alignment vertical="center"/>
      <protection locked="0"/>
    </xf>
    <xf numFmtId="0" fontId="12" fillId="0" borderId="83" xfId="2" applyFont="1" applyBorder="1" applyAlignment="1">
      <alignment horizontal="center" vertical="center"/>
    </xf>
    <xf numFmtId="0" fontId="1" fillId="11" borderId="12" xfId="2" applyFont="1" applyFill="1" applyBorder="1">
      <alignment vertical="center"/>
    </xf>
    <xf numFmtId="0" fontId="1" fillId="2" borderId="88" xfId="2" applyFill="1" applyBorder="1">
      <alignment vertical="center"/>
    </xf>
    <xf numFmtId="0" fontId="1" fillId="0" borderId="19" xfId="2" applyBorder="1" applyAlignment="1">
      <alignment horizontal="center" vertical="center"/>
    </xf>
    <xf numFmtId="0" fontId="1" fillId="0" borderId="28" xfId="2" applyBorder="1" applyAlignment="1">
      <alignment horizontal="center" vertical="center"/>
    </xf>
    <xf numFmtId="0" fontId="0" fillId="0" borderId="85" xfId="0" applyFont="1" applyBorder="1" applyAlignment="1">
      <alignment horizontal="center" vertical="center"/>
    </xf>
    <xf numFmtId="0" fontId="1" fillId="0" borderId="5" xfId="2" applyBorder="1">
      <alignment vertical="center"/>
    </xf>
    <xf numFmtId="0" fontId="1" fillId="0" borderId="12" xfId="2" applyBorder="1" applyAlignment="1">
      <alignment horizontal="center" vertical="center"/>
    </xf>
    <xf numFmtId="0" fontId="1" fillId="0" borderId="6" xfId="2" applyBorder="1">
      <alignment vertical="center"/>
    </xf>
    <xf numFmtId="0" fontId="1" fillId="0" borderId="89" xfId="2" applyFont="1" applyBorder="1" applyAlignment="1">
      <alignment horizontal="center" vertical="center"/>
    </xf>
    <xf numFmtId="38" fontId="1" fillId="0" borderId="89" xfId="1" applyFont="1" applyFill="1" applyBorder="1">
      <alignment vertical="center"/>
    </xf>
    <xf numFmtId="3" fontId="1" fillId="0" borderId="90" xfId="2" applyNumberFormat="1" applyFont="1" applyBorder="1" applyAlignment="1">
      <alignment horizontal="center" vertical="center"/>
    </xf>
    <xf numFmtId="0" fontId="1" fillId="0" borderId="32" xfId="2" applyFont="1" applyBorder="1" applyAlignment="1">
      <alignment horizontal="center" vertical="center"/>
    </xf>
    <xf numFmtId="3" fontId="1" fillId="0" borderId="91" xfId="2" applyNumberFormat="1" applyFont="1" applyBorder="1" applyAlignment="1">
      <alignment horizontal="center" vertical="center"/>
    </xf>
    <xf numFmtId="3" fontId="1" fillId="0" borderId="0" xfId="2" applyNumberFormat="1" applyFont="1" applyBorder="1" applyAlignment="1">
      <alignment horizontal="center" vertical="center"/>
    </xf>
    <xf numFmtId="0" fontId="0" fillId="0" borderId="0" xfId="2" applyFont="1" applyAlignment="1">
      <alignment horizontal="right" vertical="center"/>
    </xf>
    <xf numFmtId="0" fontId="1" fillId="0" borderId="14" xfId="2" applyBorder="1">
      <alignment vertical="center"/>
    </xf>
    <xf numFmtId="3" fontId="1" fillId="0" borderId="92" xfId="2" applyNumberFormat="1" applyFont="1" applyBorder="1" applyAlignment="1">
      <alignment horizontal="center" vertical="center"/>
    </xf>
    <xf numFmtId="0" fontId="1" fillId="0" borderId="93" xfId="2" applyFont="1" applyBorder="1" applyAlignment="1">
      <alignment horizontal="center" vertical="center"/>
    </xf>
    <xf numFmtId="3" fontId="1" fillId="0" borderId="94" xfId="2" applyNumberFormat="1" applyFont="1" applyBorder="1" applyAlignment="1">
      <alignment horizontal="center" vertical="center"/>
    </xf>
    <xf numFmtId="38" fontId="1" fillId="0" borderId="0" xfId="1" applyFont="1" applyFill="1" applyBorder="1">
      <alignment vertical="center"/>
    </xf>
    <xf numFmtId="3" fontId="1" fillId="0" borderId="89" xfId="2" applyNumberFormat="1" applyFont="1" applyBorder="1" applyAlignment="1">
      <alignment horizontal="center" vertical="center"/>
    </xf>
    <xf numFmtId="0" fontId="1" fillId="0" borderId="95" xfId="2" applyFont="1" applyBorder="1" applyAlignment="1">
      <alignment horizontal="center" vertical="center"/>
    </xf>
    <xf numFmtId="3" fontId="1" fillId="0" borderId="95" xfId="2" applyNumberFormat="1" applyFont="1" applyBorder="1" applyAlignment="1">
      <alignment horizontal="center" vertical="center"/>
    </xf>
    <xf numFmtId="0" fontId="1" fillId="0" borderId="57" xfId="2" applyFont="1" applyBorder="1" applyAlignment="1">
      <alignment horizontal="center" vertical="center"/>
    </xf>
    <xf numFmtId="0" fontId="1" fillId="12" borderId="19" xfId="2" applyFont="1" applyFill="1" applyBorder="1" applyAlignment="1">
      <alignment horizontal="center" vertical="center"/>
    </xf>
    <xf numFmtId="3" fontId="1" fillId="12" borderId="19" xfId="2" applyNumberFormat="1" applyFont="1" applyFill="1" applyBorder="1" applyAlignment="1">
      <alignment horizontal="center" vertical="center"/>
    </xf>
    <xf numFmtId="3" fontId="1" fillId="12" borderId="96" xfId="2" applyNumberFormat="1" applyFont="1" applyFill="1" applyBorder="1" applyAlignment="1">
      <alignment horizontal="center" vertical="center"/>
    </xf>
    <xf numFmtId="3" fontId="1" fillId="12" borderId="97" xfId="2" applyNumberFormat="1" applyFont="1" applyFill="1" applyBorder="1" applyAlignment="1">
      <alignment horizontal="center" vertical="center"/>
    </xf>
    <xf numFmtId="3" fontId="1" fillId="0" borderId="98" xfId="2" applyNumberFormat="1" applyFont="1" applyBorder="1" applyAlignment="1">
      <alignment horizontal="center" vertical="center"/>
    </xf>
    <xf numFmtId="0" fontId="1" fillId="12" borderId="28" xfId="2" applyFont="1" applyFill="1" applyBorder="1" applyAlignment="1">
      <alignment horizontal="center" vertical="center"/>
    </xf>
    <xf numFmtId="3" fontId="1" fillId="12" borderId="28" xfId="2" applyNumberFormat="1" applyFont="1" applyFill="1" applyBorder="1" applyAlignment="1">
      <alignment horizontal="center" vertical="center"/>
    </xf>
    <xf numFmtId="3" fontId="1" fillId="12" borderId="54" xfId="2" applyNumberFormat="1" applyFont="1" applyFill="1" applyBorder="1" applyAlignment="1">
      <alignment horizontal="center" vertical="center"/>
    </xf>
    <xf numFmtId="3" fontId="1" fillId="12" borderId="99" xfId="2" applyNumberFormat="1" applyFont="1" applyFill="1" applyBorder="1" applyAlignment="1">
      <alignment horizontal="center" vertical="center"/>
    </xf>
    <xf numFmtId="3" fontId="1" fillId="0" borderId="100" xfId="2" applyNumberFormat="1" applyFont="1" applyBorder="1" applyAlignment="1">
      <alignment horizontal="center" vertical="center"/>
    </xf>
    <xf numFmtId="3" fontId="1" fillId="12" borderId="101" xfId="2" applyNumberFormat="1" applyFont="1" applyFill="1" applyBorder="1" applyAlignment="1">
      <alignment horizontal="center" vertical="center"/>
    </xf>
    <xf numFmtId="3" fontId="1" fillId="0" borderId="102" xfId="2" applyNumberFormat="1" applyFont="1" applyBorder="1" applyAlignment="1">
      <alignment horizontal="center" vertical="center"/>
    </xf>
    <xf numFmtId="0" fontId="1" fillId="12" borderId="55" xfId="2" applyFont="1" applyFill="1" applyBorder="1" applyAlignment="1">
      <alignment horizontal="center" vertical="center"/>
    </xf>
    <xf numFmtId="3" fontId="1" fillId="12" borderId="55" xfId="2" applyNumberFormat="1" applyFont="1" applyFill="1" applyBorder="1" applyAlignment="1">
      <alignment horizontal="center" vertical="center"/>
    </xf>
    <xf numFmtId="3" fontId="1" fillId="12" borderId="63" xfId="2" applyNumberFormat="1" applyFont="1" applyFill="1" applyBorder="1" applyAlignment="1">
      <alignment horizontal="center" vertical="center"/>
    </xf>
    <xf numFmtId="3" fontId="1" fillId="12" borderId="103" xfId="2" applyNumberFormat="1" applyFont="1" applyFill="1" applyBorder="1" applyAlignment="1">
      <alignment horizontal="center" vertical="center"/>
    </xf>
    <xf numFmtId="3" fontId="1" fillId="0" borderId="104" xfId="2" applyNumberFormat="1" applyFont="1" applyBorder="1" applyAlignment="1">
      <alignment horizontal="center" vertical="center"/>
    </xf>
    <xf numFmtId="0" fontId="1" fillId="12" borderId="94" xfId="2" applyFont="1" applyFill="1" applyBorder="1" applyAlignment="1">
      <alignment horizontal="center" vertical="center"/>
    </xf>
    <xf numFmtId="3" fontId="1" fillId="12" borderId="94" xfId="2" applyNumberFormat="1" applyFont="1" applyFill="1" applyBorder="1" applyAlignment="1">
      <alignment horizontal="center" vertical="center"/>
    </xf>
    <xf numFmtId="3" fontId="1" fillId="12" borderId="105" xfId="2" applyNumberFormat="1" applyFont="1" applyFill="1" applyBorder="1" applyAlignment="1">
      <alignment horizontal="center" vertical="center"/>
    </xf>
    <xf numFmtId="3" fontId="1" fillId="12" borderId="106" xfId="2" applyNumberFormat="1" applyFont="1" applyFill="1" applyBorder="1" applyAlignment="1">
      <alignment horizontal="center" vertical="center"/>
    </xf>
    <xf numFmtId="3" fontId="1" fillId="0" borderId="107" xfId="2" applyNumberFormat="1" applyFont="1" applyBorder="1" applyAlignment="1">
      <alignment horizontal="center" vertical="center"/>
    </xf>
    <xf numFmtId="0" fontId="17" fillId="2" borderId="91" xfId="2" applyFont="1" applyFill="1" applyBorder="1" applyAlignment="1">
      <alignment horizontal="center" vertical="center"/>
    </xf>
    <xf numFmtId="3" fontId="1" fillId="2" borderId="91" xfId="2" applyNumberFormat="1" applyFont="1" applyFill="1" applyBorder="1" applyAlignment="1">
      <alignment horizontal="center" vertical="center"/>
    </xf>
    <xf numFmtId="3" fontId="1" fillId="2" borderId="108" xfId="2" applyNumberFormat="1" applyFont="1" applyFill="1" applyBorder="1" applyAlignment="1">
      <alignment horizontal="center" vertical="center"/>
    </xf>
    <xf numFmtId="3" fontId="1" fillId="2" borderId="109" xfId="2" applyNumberFormat="1" applyFont="1" applyFill="1" applyBorder="1" applyAlignment="1">
      <alignment horizontal="center" vertical="center"/>
    </xf>
    <xf numFmtId="3" fontId="1" fillId="9" borderId="110" xfId="2" applyNumberFormat="1" applyFont="1" applyFill="1" applyBorder="1" applyAlignment="1">
      <alignment horizontal="center" vertical="center"/>
    </xf>
    <xf numFmtId="0" fontId="1" fillId="0" borderId="111" xfId="2" applyBorder="1">
      <alignment vertical="center"/>
    </xf>
    <xf numFmtId="0" fontId="17" fillId="2" borderId="94" xfId="2" applyFont="1" applyFill="1" applyBorder="1" applyAlignment="1">
      <alignment horizontal="center" vertical="center"/>
    </xf>
    <xf numFmtId="3" fontId="1" fillId="2" borderId="94" xfId="2" applyNumberFormat="1" applyFont="1" applyFill="1" applyBorder="1" applyAlignment="1">
      <alignment horizontal="center" vertical="center"/>
    </xf>
    <xf numFmtId="3" fontId="1" fillId="2" borderId="105" xfId="2" applyNumberFormat="1" applyFont="1" applyFill="1" applyBorder="1" applyAlignment="1">
      <alignment horizontal="center" vertical="center"/>
    </xf>
    <xf numFmtId="3" fontId="1" fillId="2" borderId="106" xfId="2" applyNumberFormat="1" applyFont="1" applyFill="1" applyBorder="1" applyAlignment="1">
      <alignment horizontal="center" vertical="center"/>
    </xf>
    <xf numFmtId="3" fontId="1" fillId="9" borderId="107" xfId="2" applyNumberFormat="1" applyFont="1" applyFill="1" applyBorder="1" applyAlignment="1">
      <alignment horizontal="center" vertical="center"/>
    </xf>
    <xf numFmtId="3" fontId="0" fillId="0" borderId="0" xfId="2" applyNumberFormat="1" applyFont="1" applyFill="1" applyAlignment="1">
      <alignment horizontal="center" vertical="center"/>
    </xf>
    <xf numFmtId="3" fontId="0" fillId="9" borderId="0" xfId="2" applyNumberFormat="1" applyFont="1" applyFill="1" applyAlignment="1">
      <alignment horizontal="center" vertical="center"/>
    </xf>
    <xf numFmtId="0" fontId="1" fillId="0" borderId="16" xfId="2" applyFont="1" applyBorder="1">
      <alignment vertical="center"/>
    </xf>
    <xf numFmtId="0" fontId="1" fillId="0" borderId="112" xfId="2" applyFont="1" applyBorder="1" applyAlignment="1">
      <alignment horizontal="center" vertical="center"/>
    </xf>
    <xf numFmtId="3" fontId="1" fillId="0" borderId="112" xfId="2" applyNumberFormat="1" applyFont="1" applyBorder="1" applyAlignment="1">
      <alignment horizontal="center" vertical="center"/>
    </xf>
    <xf numFmtId="3" fontId="1" fillId="0" borderId="113" xfId="2" applyNumberFormat="1" applyFont="1" applyBorder="1" applyAlignment="1">
      <alignment horizontal="center" vertical="center"/>
    </xf>
    <xf numFmtId="0" fontId="11" fillId="0" borderId="0" xfId="2" applyFont="1" applyAlignment="1">
      <alignment horizontal="right" vertical="center"/>
    </xf>
    <xf numFmtId="0" fontId="17" fillId="9" borderId="1" xfId="2" applyFont="1" applyFill="1" applyBorder="1">
      <alignment vertical="center"/>
    </xf>
    <xf numFmtId="0" fontId="1" fillId="9" borderId="4" xfId="2" applyFill="1" applyBorder="1">
      <alignment vertical="center"/>
    </xf>
    <xf numFmtId="0" fontId="1" fillId="0" borderId="114" xfId="2" applyBorder="1">
      <alignment vertical="center"/>
    </xf>
    <xf numFmtId="0" fontId="1" fillId="0" borderId="115" xfId="2" applyBorder="1">
      <alignment vertical="center"/>
    </xf>
    <xf numFmtId="0" fontId="1" fillId="0" borderId="116" xfId="2" applyFont="1" applyBorder="1">
      <alignment vertical="center"/>
    </xf>
    <xf numFmtId="0" fontId="1" fillId="0" borderId="117" xfId="2" applyFont="1" applyBorder="1">
      <alignment vertical="center"/>
    </xf>
    <xf numFmtId="0" fontId="1" fillId="0" borderId="118" xfId="2" applyFont="1" applyBorder="1">
      <alignment vertical="center"/>
    </xf>
    <xf numFmtId="0" fontId="1" fillId="9" borderId="11" xfId="2" applyFill="1" applyBorder="1">
      <alignment vertical="center"/>
    </xf>
    <xf numFmtId="0" fontId="1" fillId="9" borderId="13" xfId="2" applyFill="1" applyBorder="1">
      <alignment vertical="center"/>
    </xf>
    <xf numFmtId="0" fontId="1" fillId="0" borderId="119" xfId="2" applyBorder="1">
      <alignment vertical="center"/>
    </xf>
    <xf numFmtId="0" fontId="1" fillId="0" borderId="28" xfId="2" applyBorder="1">
      <alignment vertical="center"/>
    </xf>
    <xf numFmtId="0" fontId="0" fillId="0" borderId="54" xfId="0" applyBorder="1">
      <alignment vertical="center"/>
    </xf>
    <xf numFmtId="0" fontId="1" fillId="0" borderId="120" xfId="2" applyFont="1" applyBorder="1">
      <alignment vertical="center"/>
    </xf>
    <xf numFmtId="0" fontId="1" fillId="0" borderId="121" xfId="2" applyFont="1" applyBorder="1">
      <alignment vertical="center"/>
    </xf>
    <xf numFmtId="0" fontId="1" fillId="0" borderId="122" xfId="2" applyFont="1" applyBorder="1">
      <alignment vertical="center"/>
    </xf>
    <xf numFmtId="0" fontId="1" fillId="0" borderId="123" xfId="2" applyBorder="1">
      <alignment vertical="center"/>
    </xf>
    <xf numFmtId="0" fontId="0" fillId="0" borderId="41" xfId="0" applyBorder="1">
      <alignment vertical="center"/>
    </xf>
    <xf numFmtId="0" fontId="1" fillId="0" borderId="124" xfId="2" applyFont="1" applyBorder="1">
      <alignment vertical="center"/>
    </xf>
    <xf numFmtId="0" fontId="1" fillId="0" borderId="125" xfId="2" applyFont="1" applyBorder="1">
      <alignment vertical="center"/>
    </xf>
    <xf numFmtId="0" fontId="1" fillId="0" borderId="126" xfId="2" applyFont="1" applyBorder="1">
      <alignment vertical="center"/>
    </xf>
    <xf numFmtId="0" fontId="1" fillId="9" borderId="29" xfId="2" applyFill="1" applyBorder="1">
      <alignment vertical="center"/>
    </xf>
    <xf numFmtId="0" fontId="1" fillId="9" borderId="24" xfId="2" applyFill="1" applyBorder="1">
      <alignment vertical="center"/>
    </xf>
    <xf numFmtId="0" fontId="1" fillId="0" borderId="127" xfId="2" applyBorder="1">
      <alignment vertical="center"/>
    </xf>
    <xf numFmtId="0" fontId="0" fillId="0" borderId="128" xfId="0" applyBorder="1">
      <alignment vertical="center"/>
    </xf>
    <xf numFmtId="0" fontId="1" fillId="0" borderId="129" xfId="2" applyFont="1" applyBorder="1">
      <alignment vertical="center"/>
    </xf>
    <xf numFmtId="0" fontId="1" fillId="0" borderId="130" xfId="2" applyFont="1" applyBorder="1">
      <alignment vertical="center"/>
    </xf>
    <xf numFmtId="0" fontId="1" fillId="0" borderId="131" xfId="2" applyFont="1" applyBorder="1">
      <alignment vertical="center"/>
    </xf>
    <xf numFmtId="0" fontId="11" fillId="0" borderId="5" xfId="2" applyFont="1" applyBorder="1">
      <alignment vertical="center"/>
    </xf>
    <xf numFmtId="0" fontId="5" fillId="0" borderId="7" xfId="2" applyFont="1" applyBorder="1">
      <alignment vertical="center"/>
    </xf>
    <xf numFmtId="0" fontId="1" fillId="0" borderId="1" xfId="2" applyBorder="1">
      <alignment vertical="center"/>
    </xf>
    <xf numFmtId="0" fontId="1" fillId="0" borderId="2" xfId="2" applyBorder="1">
      <alignment vertical="center"/>
    </xf>
    <xf numFmtId="0" fontId="1" fillId="0" borderId="4" xfId="2" applyBorder="1">
      <alignment vertical="center"/>
    </xf>
    <xf numFmtId="0" fontId="22" fillId="0" borderId="0" xfId="2" applyFont="1" applyAlignment="1">
      <alignment horizontal="center" vertical="center"/>
    </xf>
    <xf numFmtId="0" fontId="1" fillId="0" borderId="88" xfId="2" applyBorder="1">
      <alignment vertical="center"/>
    </xf>
    <xf numFmtId="0" fontId="1" fillId="0" borderId="11" xfId="2" applyBorder="1">
      <alignment vertical="center"/>
    </xf>
    <xf numFmtId="0" fontId="1" fillId="0" borderId="13" xfId="2" applyBorder="1">
      <alignment vertical="center"/>
    </xf>
    <xf numFmtId="0" fontId="1" fillId="0" borderId="12" xfId="2" applyBorder="1" applyAlignment="1">
      <alignment vertical="center"/>
    </xf>
    <xf numFmtId="0" fontId="1" fillId="0" borderId="132" xfId="2" applyBorder="1">
      <alignment vertical="center"/>
    </xf>
    <xf numFmtId="0" fontId="0" fillId="0" borderId="132" xfId="0" applyBorder="1">
      <alignment vertical="center"/>
    </xf>
    <xf numFmtId="0" fontId="1" fillId="0" borderId="29" xfId="2" applyBorder="1">
      <alignment vertical="center"/>
    </xf>
    <xf numFmtId="0" fontId="1" fillId="0" borderId="133" xfId="2" applyBorder="1">
      <alignment vertical="center"/>
    </xf>
    <xf numFmtId="0" fontId="1" fillId="0" borderId="24" xfId="2" applyBorder="1">
      <alignment vertical="center"/>
    </xf>
    <xf numFmtId="0" fontId="1" fillId="13" borderId="12" xfId="2" applyFill="1" applyBorder="1">
      <alignment vertical="center"/>
    </xf>
    <xf numFmtId="0" fontId="1" fillId="0" borderId="0" xfId="2" applyFont="1" applyBorder="1" applyAlignment="1">
      <alignment horizontal="left"/>
    </xf>
    <xf numFmtId="0" fontId="20" fillId="14" borderId="12" xfId="2" applyFont="1" applyFill="1" applyBorder="1">
      <alignment vertical="center"/>
    </xf>
    <xf numFmtId="0" fontId="1" fillId="10" borderId="12" xfId="2" applyFill="1" applyBorder="1">
      <alignment vertical="center"/>
    </xf>
    <xf numFmtId="3" fontId="1" fillId="10" borderId="12" xfId="2" applyNumberFormat="1" applyFill="1" applyBorder="1">
      <alignment vertical="center"/>
    </xf>
    <xf numFmtId="0" fontId="23" fillId="0" borderId="0" xfId="2" applyFont="1" applyAlignment="1">
      <alignment horizontal="right" vertical="center"/>
    </xf>
    <xf numFmtId="3" fontId="1" fillId="14" borderId="12" xfId="2" applyNumberFormat="1" applyFill="1" applyBorder="1">
      <alignment vertical="center"/>
    </xf>
    <xf numFmtId="0" fontId="1" fillId="10" borderId="19" xfId="2" applyFill="1" applyBorder="1">
      <alignment vertical="center"/>
    </xf>
    <xf numFmtId="0" fontId="17" fillId="2" borderId="30" xfId="2" applyFont="1" applyFill="1" applyBorder="1">
      <alignment vertical="center"/>
    </xf>
    <xf numFmtId="3" fontId="1" fillId="2" borderId="31" xfId="2" applyNumberFormat="1" applyFill="1" applyBorder="1">
      <alignment vertical="center"/>
    </xf>
    <xf numFmtId="0" fontId="11" fillId="0" borderId="12" xfId="2" applyFont="1" applyBorder="1">
      <alignment vertical="center"/>
    </xf>
    <xf numFmtId="0" fontId="5" fillId="0" borderId="0" xfId="2" applyFont="1" applyBorder="1">
      <alignment vertical="center"/>
    </xf>
    <xf numFmtId="0" fontId="5" fillId="0" borderId="0" xfId="2" applyFont="1">
      <alignment vertical="center"/>
    </xf>
    <xf numFmtId="0" fontId="1" fillId="0" borderId="95" xfId="2" applyFill="1" applyBorder="1">
      <alignment vertical="center"/>
    </xf>
    <xf numFmtId="0" fontId="1" fillId="13" borderId="19" xfId="2" applyFill="1" applyBorder="1" applyAlignment="1">
      <alignment horizontal="center" vertical="center"/>
    </xf>
    <xf numFmtId="0" fontId="1" fillId="13" borderId="12" xfId="2" applyFill="1" applyBorder="1" applyAlignment="1">
      <alignment vertical="center"/>
    </xf>
    <xf numFmtId="0" fontId="1" fillId="13" borderId="55" xfId="2" applyFill="1" applyBorder="1" applyAlignment="1">
      <alignment horizontal="center" vertical="center"/>
    </xf>
    <xf numFmtId="0" fontId="1" fillId="13" borderId="28" xfId="2" applyFill="1" applyBorder="1" applyAlignment="1">
      <alignment horizontal="center" vertical="center"/>
    </xf>
    <xf numFmtId="0" fontId="24" fillId="0" borderId="0" xfId="2" applyFont="1">
      <alignment vertical="center"/>
    </xf>
    <xf numFmtId="0" fontId="1" fillId="15" borderId="19" xfId="2" applyFill="1" applyBorder="1" applyAlignment="1">
      <alignment horizontal="center" vertical="center"/>
    </xf>
    <xf numFmtId="0" fontId="1" fillId="15" borderId="12" xfId="2" applyFill="1" applyBorder="1" applyAlignment="1">
      <alignment vertical="center"/>
    </xf>
    <xf numFmtId="0" fontId="1" fillId="15" borderId="12" xfId="2" applyFill="1" applyBorder="1">
      <alignment vertical="center"/>
    </xf>
    <xf numFmtId="0" fontId="1" fillId="15" borderId="55" xfId="2" applyFill="1" applyBorder="1" applyAlignment="1">
      <alignment horizontal="center" vertical="center"/>
    </xf>
    <xf numFmtId="0" fontId="1" fillId="15" borderId="28" xfId="2" applyFill="1" applyBorder="1" applyAlignment="1">
      <alignment horizontal="center" vertical="center"/>
    </xf>
    <xf numFmtId="0" fontId="1" fillId="0" borderId="41" xfId="2" applyBorder="1" applyAlignment="1">
      <alignment vertical="center"/>
    </xf>
    <xf numFmtId="0" fontId="1" fillId="0" borderId="134" xfId="2" applyBorder="1">
      <alignment vertical="center"/>
    </xf>
    <xf numFmtId="0" fontId="1" fillId="0" borderId="135" xfId="2" applyBorder="1">
      <alignment vertical="center"/>
    </xf>
    <xf numFmtId="0" fontId="0" fillId="0" borderId="82" xfId="0" applyBorder="1">
      <alignment vertical="center"/>
    </xf>
    <xf numFmtId="0" fontId="1" fillId="0" borderId="136" xfId="2" applyBorder="1">
      <alignment vertical="center"/>
    </xf>
    <xf numFmtId="0" fontId="1" fillId="0" borderId="137" xfId="2" applyBorder="1">
      <alignment vertical="center"/>
    </xf>
    <xf numFmtId="0" fontId="25" fillId="0" borderId="0" xfId="2" applyFont="1" applyBorder="1">
      <alignment vertical="center"/>
    </xf>
    <xf numFmtId="0" fontId="26" fillId="0" borderId="0" xfId="2" applyFont="1" applyBorder="1" applyAlignment="1">
      <alignment horizontal="right" vertical="center"/>
    </xf>
    <xf numFmtId="0" fontId="1" fillId="12" borderId="12" xfId="2" applyFill="1" applyBorder="1">
      <alignment vertical="center"/>
    </xf>
    <xf numFmtId="3" fontId="1" fillId="12" borderId="12" xfId="2" applyNumberFormat="1" applyFill="1" applyBorder="1">
      <alignment vertical="center"/>
    </xf>
    <xf numFmtId="3" fontId="1" fillId="0" borderId="138" xfId="2" applyNumberFormat="1" applyBorder="1">
      <alignment vertical="center"/>
    </xf>
    <xf numFmtId="3" fontId="1" fillId="0" borderId="139" xfId="2" applyNumberFormat="1" applyBorder="1">
      <alignment vertical="center"/>
    </xf>
    <xf numFmtId="0" fontId="1" fillId="12" borderId="19" xfId="2" applyFill="1" applyBorder="1">
      <alignment vertical="center"/>
    </xf>
    <xf numFmtId="3" fontId="1" fillId="0" borderId="102" xfId="2" applyNumberFormat="1" applyBorder="1">
      <alignment vertical="center"/>
    </xf>
    <xf numFmtId="3" fontId="1" fillId="2" borderId="140" xfId="2" applyNumberFormat="1" applyFill="1" applyBorder="1">
      <alignment vertical="center"/>
    </xf>
    <xf numFmtId="3" fontId="1" fillId="9" borderId="5" xfId="2" applyNumberFormat="1" applyFill="1" applyBorder="1">
      <alignment vertical="center"/>
    </xf>
    <xf numFmtId="0" fontId="1" fillId="0" borderId="141" xfId="2" applyBorder="1">
      <alignment vertical="center"/>
    </xf>
    <xf numFmtId="0" fontId="1" fillId="0" borderId="142" xfId="2" applyBorder="1">
      <alignment vertical="center"/>
    </xf>
    <xf numFmtId="0" fontId="1" fillId="0" borderId="143" xfId="2" applyBorder="1">
      <alignment vertical="center"/>
    </xf>
    <xf numFmtId="0" fontId="1" fillId="0" borderId="144" xfId="2" applyBorder="1">
      <alignment vertical="center"/>
    </xf>
    <xf numFmtId="0" fontId="1" fillId="16" borderId="19" xfId="2" applyFill="1" applyBorder="1" applyAlignment="1">
      <alignment horizontal="center" vertical="center"/>
    </xf>
    <xf numFmtId="0" fontId="1" fillId="16" borderId="41" xfId="2" applyFill="1" applyBorder="1" applyAlignment="1">
      <alignment vertical="center"/>
    </xf>
    <xf numFmtId="0" fontId="1" fillId="16" borderId="145" xfId="2" applyFill="1" applyBorder="1">
      <alignment vertical="center"/>
    </xf>
    <xf numFmtId="0" fontId="1" fillId="16" borderId="55" xfId="2" applyFill="1" applyBorder="1" applyAlignment="1">
      <alignment horizontal="center" vertical="center"/>
    </xf>
    <xf numFmtId="0" fontId="1" fillId="16" borderId="28" xfId="2" applyFill="1" applyBorder="1" applyAlignment="1">
      <alignment horizontal="center" vertical="center"/>
    </xf>
    <xf numFmtId="0" fontId="1" fillId="0" borderId="146" xfId="2" applyBorder="1">
      <alignment vertical="center"/>
    </xf>
    <xf numFmtId="0" fontId="1" fillId="0" borderId="147" xfId="2" applyBorder="1">
      <alignment vertical="center"/>
    </xf>
    <xf numFmtId="0" fontId="1" fillId="17" borderId="19" xfId="2" applyFill="1" applyBorder="1" applyAlignment="1">
      <alignment horizontal="center" vertical="center"/>
    </xf>
    <xf numFmtId="0" fontId="1" fillId="17" borderId="41" xfId="2" applyFill="1" applyBorder="1" applyAlignment="1">
      <alignment vertical="center"/>
    </xf>
    <xf numFmtId="0" fontId="1" fillId="17" borderId="145" xfId="2" applyFill="1" applyBorder="1">
      <alignment vertical="center"/>
    </xf>
    <xf numFmtId="0" fontId="1" fillId="17" borderId="55" xfId="2" applyFill="1" applyBorder="1" applyAlignment="1">
      <alignment horizontal="center" vertical="center"/>
    </xf>
    <xf numFmtId="0" fontId="1" fillId="17" borderId="28" xfId="2" applyFill="1" applyBorder="1" applyAlignment="1">
      <alignment horizontal="center" vertical="center"/>
    </xf>
    <xf numFmtId="0" fontId="1" fillId="0" borderId="148" xfId="2" applyBorder="1">
      <alignment vertical="center"/>
    </xf>
    <xf numFmtId="3" fontId="1" fillId="0" borderId="149" xfId="2" applyNumberFormat="1" applyBorder="1">
      <alignment vertical="center"/>
    </xf>
    <xf numFmtId="3" fontId="1" fillId="2" borderId="65" xfId="2" applyNumberFormat="1" applyFill="1" applyBorder="1">
      <alignment vertical="center"/>
    </xf>
    <xf numFmtId="0" fontId="1" fillId="0" borderId="86" xfId="2" applyBorder="1">
      <alignment vertical="center"/>
    </xf>
    <xf numFmtId="0" fontId="1" fillId="0" borderId="150" xfId="2" applyBorder="1">
      <alignment vertical="center"/>
    </xf>
    <xf numFmtId="3" fontId="1" fillId="0" borderId="41" xfId="2" applyNumberFormat="1" applyBorder="1">
      <alignment vertical="center"/>
    </xf>
    <xf numFmtId="0" fontId="1" fillId="0" borderId="27" xfId="2" applyBorder="1">
      <alignment vertical="center"/>
    </xf>
    <xf numFmtId="3" fontId="1" fillId="0" borderId="33" xfId="2" applyNumberFormat="1" applyBorder="1">
      <alignment vertical="center"/>
    </xf>
    <xf numFmtId="0" fontId="1" fillId="0" borderId="90" xfId="2" applyBorder="1" applyAlignment="1">
      <alignment horizontal="right" vertical="center"/>
    </xf>
    <xf numFmtId="180" fontId="1" fillId="18" borderId="88" xfId="2" applyNumberFormat="1" applyFill="1" applyBorder="1">
      <alignment vertical="center"/>
    </xf>
  </cellXfs>
  <cellStyles count="5">
    <cellStyle name="桁区切り 2" xfId="1"/>
    <cellStyle name="標準" xfId="0" builtinId="0"/>
    <cellStyle name="標準 2" xfId="2"/>
    <cellStyle name="ハイパーリンク" xfId="3" builtinId="8"/>
    <cellStyle name="桁区切り" xfId="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13</xdr:col>
      <xdr:colOff>114935</xdr:colOff>
      <xdr:row>15</xdr:row>
      <xdr:rowOff>81280</xdr:rowOff>
    </xdr:from>
    <xdr:ext cx="6019800" cy="3030855"/>
    <xdr:sp macro="" textlink="">
      <xdr:nvSpPr>
        <xdr:cNvPr id="2" name="テキスト ボックス 1"/>
        <xdr:cNvSpPr txBox="1"/>
      </xdr:nvSpPr>
      <xdr:spPr>
        <a:xfrm>
          <a:off x="11363960" y="2776855"/>
          <a:ext cx="6019800" cy="3030855"/>
        </a:xfrm>
        <a:prstGeom prst="rect">
          <a:avLst/>
        </a:prstGeom>
        <a:no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lang="ja-JP" altLang="en-US" b="1" i="1"/>
            <a:t>給与所得計算表　</a:t>
          </a:r>
          <a:r>
            <a:rPr lang="en-US" altLang="ja-JP" b="1" i="1"/>
            <a:t>H29.3</a:t>
          </a:r>
          <a:r>
            <a:rPr lang="ja-JP" altLang="en-US" b="1" i="1"/>
            <a:t>月時点</a:t>
          </a:r>
          <a:endParaRPr lang="ja-JP" altLang="en-US" b="1" i="1"/>
        </a:p>
        <a:p>
          <a:endParaRPr lang="en-US" altLang="ja-JP" b="1" i="1"/>
        </a:p>
        <a:p>
          <a:r>
            <a:rPr lang="ja-JP" altLang="en-US"/>
            <a:t>＜給与収入範囲＞　　　　　　　　　　　　　　　　　　　　　　　　　　　　＜給与所得の計算式＞　　　　　　</a:t>
          </a:r>
          <a:endParaRPr lang="en-US" altLang="ja-JP"/>
        </a:p>
        <a:p>
          <a:r>
            <a:rPr lang="en-US" altLang="ja-JP"/>
            <a:t>0</a:t>
          </a:r>
          <a:r>
            <a:rPr lang="ja-JP" altLang="en-US"/>
            <a:t>円 ～ </a:t>
          </a:r>
          <a:r>
            <a:rPr lang="en-US" altLang="ja-JP"/>
            <a:t>65.1</a:t>
          </a:r>
          <a:r>
            <a:rPr lang="ja-JP" altLang="en-US"/>
            <a:t>万円未満　　　　　　　　　　　　　　　　　　　　　　　　　　</a:t>
          </a:r>
          <a:r>
            <a:rPr lang="en-US" altLang="ja-JP"/>
            <a:t>		0</a:t>
          </a:r>
          <a:r>
            <a:rPr lang="ja-JP" altLang="en-US"/>
            <a:t>円　　　</a:t>
          </a:r>
          <a:endParaRPr lang="en-US" altLang="ja-JP"/>
        </a:p>
        <a:p>
          <a:r>
            <a:rPr lang="en-US" altLang="ja-JP"/>
            <a:t>65.1</a:t>
          </a:r>
          <a:r>
            <a:rPr lang="ja-JP" altLang="en-US"/>
            <a:t>万円 ～ </a:t>
          </a:r>
          <a:r>
            <a:rPr lang="en-US" altLang="ja-JP"/>
            <a:t>161.9</a:t>
          </a:r>
          <a:r>
            <a:rPr lang="ja-JP" altLang="en-US"/>
            <a:t>万円未満　　　　　　　　　　　　　　　　　　　　給与収入－</a:t>
          </a:r>
          <a:r>
            <a:rPr lang="ja-JP" altLang="en-US" baseline="0"/>
            <a:t> </a:t>
          </a:r>
          <a:r>
            <a:rPr lang="en-US" altLang="ja-JP"/>
            <a:t>650,000</a:t>
          </a:r>
          <a:r>
            <a:rPr lang="ja-JP" altLang="en-US"/>
            <a:t>円　　　</a:t>
          </a:r>
          <a:endParaRPr lang="en-US" altLang="ja-JP"/>
        </a:p>
        <a:p>
          <a:r>
            <a:rPr lang="en-US" altLang="ja-JP"/>
            <a:t>161.9</a:t>
          </a:r>
          <a:r>
            <a:rPr lang="ja-JP" altLang="en-US"/>
            <a:t>万円 ～ </a:t>
          </a:r>
          <a:r>
            <a:rPr lang="en-US" altLang="ja-JP"/>
            <a:t>162</a:t>
          </a:r>
          <a:r>
            <a:rPr lang="ja-JP" altLang="en-US"/>
            <a:t>万円未満　　　　　　　　　　　　　　　　　　　　　　　　　　　　 </a:t>
          </a:r>
          <a:r>
            <a:rPr lang="en-US" altLang="ja-JP"/>
            <a:t>969,000</a:t>
          </a:r>
          <a:r>
            <a:rPr lang="ja-JP" altLang="en-US"/>
            <a:t>円　　　</a:t>
          </a:r>
          <a:endParaRPr lang="en-US" altLang="ja-JP"/>
        </a:p>
        <a:p>
          <a:r>
            <a:rPr lang="en-US" altLang="ja-JP"/>
            <a:t>162</a:t>
          </a:r>
          <a:r>
            <a:rPr lang="ja-JP" altLang="en-US"/>
            <a:t>万円 ～ </a:t>
          </a:r>
          <a:r>
            <a:rPr lang="en-US" altLang="ja-JP"/>
            <a:t>162.2</a:t>
          </a:r>
          <a:r>
            <a:rPr lang="ja-JP" altLang="en-US"/>
            <a:t>万円未満　　　　　　　　　　　　　　　　　　　　　　　　　　　　</a:t>
          </a:r>
          <a:r>
            <a:rPr lang="ja-JP" altLang="en-US" baseline="0"/>
            <a:t> </a:t>
          </a:r>
          <a:r>
            <a:rPr lang="en-US" altLang="ja-JP"/>
            <a:t>970,000</a:t>
          </a:r>
          <a:r>
            <a:rPr lang="ja-JP" altLang="en-US"/>
            <a:t>円　　</a:t>
          </a:r>
          <a:endParaRPr lang="en-US" altLang="ja-JP"/>
        </a:p>
        <a:p>
          <a:r>
            <a:rPr lang="en-US" altLang="ja-JP"/>
            <a:t>162.2</a:t>
          </a:r>
          <a:r>
            <a:rPr lang="ja-JP" altLang="en-US"/>
            <a:t>万円 ～ </a:t>
          </a:r>
          <a:r>
            <a:rPr lang="en-US" altLang="ja-JP"/>
            <a:t>162.4</a:t>
          </a:r>
          <a:r>
            <a:rPr lang="ja-JP" altLang="en-US"/>
            <a:t>万円未満　　　　　　　　　　　　　　　　　　　　　　　　　　　 </a:t>
          </a:r>
          <a:r>
            <a:rPr lang="en-US" altLang="ja-JP"/>
            <a:t>972,000</a:t>
          </a:r>
          <a:r>
            <a:rPr lang="ja-JP" altLang="en-US"/>
            <a:t>円　　</a:t>
          </a:r>
          <a:endParaRPr lang="en-US" altLang="ja-JP"/>
        </a:p>
        <a:p>
          <a:r>
            <a:rPr lang="en-US" altLang="ja-JP"/>
            <a:t>162.4</a:t>
          </a:r>
          <a:r>
            <a:rPr lang="ja-JP" altLang="en-US"/>
            <a:t>万円 ～ </a:t>
          </a:r>
          <a:r>
            <a:rPr lang="en-US" altLang="ja-JP"/>
            <a:t>162.8</a:t>
          </a:r>
          <a:r>
            <a:rPr lang="ja-JP" altLang="en-US"/>
            <a:t>万円未満　　　　　　　　　　　　　　　　　　　　　　　　　　　</a:t>
          </a:r>
          <a:r>
            <a:rPr lang="ja-JP" altLang="en-US" baseline="0"/>
            <a:t> </a:t>
          </a:r>
          <a:r>
            <a:rPr lang="en-US" altLang="ja-JP"/>
            <a:t>974,000</a:t>
          </a:r>
          <a:r>
            <a:rPr lang="ja-JP" altLang="en-US"/>
            <a:t>円　　　</a:t>
          </a:r>
          <a:endParaRPr lang="en-US" altLang="ja-JP"/>
        </a:p>
        <a:p>
          <a:r>
            <a:rPr lang="en-US" altLang="ja-JP"/>
            <a:t>162.8</a:t>
          </a:r>
          <a:r>
            <a:rPr lang="ja-JP" altLang="en-US"/>
            <a:t>万円 ～ </a:t>
          </a:r>
          <a:r>
            <a:rPr lang="en-US" altLang="ja-JP"/>
            <a:t>180</a:t>
          </a:r>
          <a:r>
            <a:rPr lang="ja-JP" altLang="en-US"/>
            <a:t>万円未満                                                                           </a:t>
          </a:r>
          <a:r>
            <a:rPr lang="en-US" altLang="ja-JP"/>
            <a:t>A</a:t>
          </a:r>
          <a:r>
            <a:rPr lang="ja-JP" altLang="en-US"/>
            <a:t>（</a:t>
          </a:r>
          <a:r>
            <a:rPr lang="en-US" altLang="ja-JP"/>
            <a:t>※</a:t>
          </a:r>
          <a:r>
            <a:rPr lang="ja-JP" altLang="en-US"/>
            <a:t>）</a:t>
          </a:r>
          <a:r>
            <a:rPr lang="en-US" altLang="ja-JP"/>
            <a:t>×2.4</a:t>
          </a:r>
          <a:r>
            <a:rPr lang="ja-JP" altLang="en-US"/>
            <a:t>円　　　　</a:t>
          </a:r>
          <a:endParaRPr lang="en-US" altLang="ja-JP"/>
        </a:p>
        <a:p>
          <a:r>
            <a:rPr lang="en-US" altLang="ja-JP"/>
            <a:t>180</a:t>
          </a:r>
          <a:r>
            <a:rPr lang="ja-JP" altLang="en-US"/>
            <a:t>万円 ～ </a:t>
          </a:r>
          <a:r>
            <a:rPr lang="en-US" altLang="ja-JP"/>
            <a:t>360</a:t>
          </a:r>
          <a:r>
            <a:rPr lang="ja-JP" altLang="en-US"/>
            <a:t>万円未満                                                            </a:t>
          </a:r>
          <a:r>
            <a:rPr lang="en-US" altLang="ja-JP"/>
            <a:t>A</a:t>
          </a:r>
          <a:r>
            <a:rPr lang="ja-JP" altLang="en-US"/>
            <a:t>（</a:t>
          </a:r>
          <a:r>
            <a:rPr lang="en-US" altLang="ja-JP"/>
            <a:t>※</a:t>
          </a:r>
          <a:r>
            <a:rPr lang="ja-JP" altLang="en-US"/>
            <a:t>）</a:t>
          </a:r>
          <a:r>
            <a:rPr lang="en-US" altLang="ja-JP"/>
            <a:t>×2.8</a:t>
          </a:r>
          <a:r>
            <a:rPr lang="ja-JP" altLang="en-US"/>
            <a:t>－</a:t>
          </a:r>
          <a:r>
            <a:rPr lang="en-US" altLang="ja-JP"/>
            <a:t>180,000</a:t>
          </a:r>
          <a:r>
            <a:rPr lang="ja-JP" altLang="en-US"/>
            <a:t>円</a:t>
          </a:r>
          <a:endParaRPr lang="en-US" altLang="ja-JP"/>
        </a:p>
        <a:p>
          <a:r>
            <a:rPr lang="en-US" altLang="ja-JP"/>
            <a:t>360</a:t>
          </a:r>
          <a:r>
            <a:rPr lang="ja-JP" altLang="en-US"/>
            <a:t>万円 ～ </a:t>
          </a:r>
          <a:r>
            <a:rPr lang="en-US" altLang="ja-JP"/>
            <a:t>660</a:t>
          </a:r>
          <a:r>
            <a:rPr lang="ja-JP" altLang="en-US"/>
            <a:t>万円未満                                                            </a:t>
          </a:r>
          <a:r>
            <a:rPr lang="en-US" altLang="ja-JP"/>
            <a:t>A</a:t>
          </a:r>
          <a:r>
            <a:rPr lang="ja-JP" altLang="en-US"/>
            <a:t>（</a:t>
          </a:r>
          <a:r>
            <a:rPr lang="en-US" altLang="ja-JP"/>
            <a:t>※</a:t>
          </a:r>
          <a:r>
            <a:rPr lang="ja-JP" altLang="en-US"/>
            <a:t>）</a:t>
          </a:r>
          <a:r>
            <a:rPr lang="en-US" altLang="ja-JP"/>
            <a:t>×3.2</a:t>
          </a:r>
          <a:r>
            <a:rPr lang="ja-JP" altLang="en-US"/>
            <a:t>－</a:t>
          </a:r>
          <a:r>
            <a:rPr lang="en-US" altLang="ja-JP"/>
            <a:t>540,000</a:t>
          </a:r>
          <a:r>
            <a:rPr lang="ja-JP" altLang="en-US"/>
            <a:t>円</a:t>
          </a:r>
          <a:endParaRPr lang="en-US" altLang="ja-JP"/>
        </a:p>
        <a:p>
          <a:r>
            <a:rPr lang="en-US" altLang="ja-JP"/>
            <a:t>660</a:t>
          </a:r>
          <a:r>
            <a:rPr lang="ja-JP" altLang="en-US"/>
            <a:t>万円 ～ </a:t>
          </a:r>
          <a:r>
            <a:rPr lang="en-US" altLang="ja-JP"/>
            <a:t>1,000</a:t>
          </a:r>
          <a:r>
            <a:rPr lang="ja-JP" altLang="en-US"/>
            <a:t>万円未満                                                給与収入</a:t>
          </a:r>
          <a:r>
            <a:rPr lang="en-US" altLang="ja-JP"/>
            <a:t>×0.9</a:t>
          </a:r>
          <a:r>
            <a:rPr lang="ja-JP" altLang="en-US"/>
            <a:t>－</a:t>
          </a:r>
          <a:r>
            <a:rPr lang="en-US" altLang="ja-JP"/>
            <a:t>1,200,000</a:t>
          </a:r>
          <a:r>
            <a:rPr lang="ja-JP" altLang="en-US"/>
            <a:t>円</a:t>
          </a:r>
          <a:endParaRPr lang="en-US" altLang="ja-JP"/>
        </a:p>
        <a:p>
          <a:r>
            <a:rPr lang="en-US" altLang="ja-JP"/>
            <a:t>1,000</a:t>
          </a:r>
          <a:r>
            <a:rPr lang="ja-JP" altLang="en-US"/>
            <a:t>万円 ～ </a:t>
          </a:r>
          <a:r>
            <a:rPr lang="en-US" altLang="ja-JP"/>
            <a:t>1,200</a:t>
          </a:r>
          <a:r>
            <a:rPr lang="ja-JP" altLang="en-US"/>
            <a:t>万円未満                                           給与収入</a:t>
          </a:r>
          <a:r>
            <a:rPr lang="en-US" altLang="ja-JP"/>
            <a:t>×0.95</a:t>
          </a:r>
          <a:r>
            <a:rPr lang="ja-JP" altLang="en-US"/>
            <a:t>－</a:t>
          </a:r>
          <a:r>
            <a:rPr lang="en-US" altLang="ja-JP"/>
            <a:t>1,700,000</a:t>
          </a:r>
          <a:r>
            <a:rPr lang="ja-JP" altLang="en-US"/>
            <a:t>円</a:t>
          </a:r>
          <a:endParaRPr lang="en-US" altLang="ja-JP"/>
        </a:p>
        <a:p>
          <a:r>
            <a:rPr lang="en-US" altLang="ja-JP"/>
            <a:t>1,200</a:t>
          </a:r>
          <a:r>
            <a:rPr lang="ja-JP" altLang="en-US"/>
            <a:t>万円 ～　　　　　　　　　　　　　　　　　　　　　　　　　　　　 給与収入－</a:t>
          </a:r>
          <a:r>
            <a:rPr lang="en-US" altLang="ja-JP"/>
            <a:t>2,300,000</a:t>
          </a:r>
          <a:r>
            <a:rPr lang="ja-JP" altLang="en-US"/>
            <a:t>円</a:t>
          </a:r>
          <a:endParaRPr lang="en-US" altLang="ja-JP"/>
        </a:p>
        <a:p>
          <a:r>
            <a:rPr kumimoji="1" lang="ja-JP" altLang="en-US" sz="1100"/>
            <a:t>　　　　　　　　　　　　　　　　　　　　　　　　　　　　　　　　　　　　　　　　　　　　　　　</a:t>
          </a:r>
          <a:r>
            <a:rPr kumimoji="1" lang="en-US" altLang="ja-JP" sz="1100"/>
            <a:t>※</a:t>
          </a:r>
          <a:r>
            <a:rPr kumimoji="1" lang="ja-JP" altLang="en-US" sz="1100"/>
            <a:t>　</a:t>
          </a:r>
          <a:r>
            <a:rPr kumimoji="1" lang="en-US" altLang="ja-JP" sz="1100"/>
            <a:t>A</a:t>
          </a:r>
          <a:r>
            <a:rPr kumimoji="1" lang="ja-JP" altLang="en-US" sz="1100"/>
            <a:t>＝収入金額</a:t>
          </a:r>
          <a:r>
            <a:rPr kumimoji="1" lang="en-US" altLang="ja-JP" sz="1100"/>
            <a:t>÷</a:t>
          </a:r>
          <a:r>
            <a:rPr kumimoji="1" lang="ja-JP" altLang="en-US" sz="1100"/>
            <a:t>４     </a:t>
          </a:r>
          <a:endParaRPr kumimoji="1" lang="en-US" altLang="ja-JP" sz="1100"/>
        </a:p>
        <a:p>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13</xdr:col>
      <xdr:colOff>254000</xdr:colOff>
      <xdr:row>20</xdr:row>
      <xdr:rowOff>52705</xdr:rowOff>
    </xdr:from>
    <xdr:to xmlns:xdr="http://schemas.openxmlformats.org/drawingml/2006/spreadsheetDrawing">
      <xdr:col>19</xdr:col>
      <xdr:colOff>65405</xdr:colOff>
      <xdr:row>35</xdr:row>
      <xdr:rowOff>131445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11236325" y="3415030"/>
          <a:ext cx="4297680" cy="2774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14</xdr:col>
      <xdr:colOff>66675</xdr:colOff>
      <xdr:row>0</xdr:row>
      <xdr:rowOff>19050</xdr:rowOff>
    </xdr:from>
    <xdr:to xmlns:xdr="http://schemas.openxmlformats.org/drawingml/2006/spreadsheetDrawing">
      <xdr:col>16</xdr:col>
      <xdr:colOff>628650</xdr:colOff>
      <xdr:row>5</xdr:row>
      <xdr:rowOff>133350</xdr:rowOff>
    </xdr:to>
    <xdr:sp macro="" textlink="">
      <xdr:nvSpPr>
        <xdr:cNvPr id="2" name="テキスト ボックス 1"/>
        <xdr:cNvSpPr txBox="1"/>
      </xdr:nvSpPr>
      <xdr:spPr>
        <a:xfrm>
          <a:off x="9839325" y="19050"/>
          <a:ext cx="1943100" cy="990600"/>
        </a:xfrm>
        <a:prstGeom prst="rect">
          <a:avLst/>
        </a:prstGeom>
        <a:solidFill>
          <a:schemeClr val="tx2">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１８歳未満の子どもについては，令和４年度から未就学児は軽減，就学児は減免となったが，計算機では全て軽減として計算されているため注意！！</a:t>
          </a:r>
          <a:endParaRPr kumimoji="1" lang="en-US" altLang="ja-JP" sz="1000"/>
        </a:p>
        <a:p>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city.asahikawa.hokkaido.jp/kurashi/135/171/175/d059429.html" TargetMode="External" /><Relationship Id="rId2" Type="http://schemas.openxmlformats.org/officeDocument/2006/relationships/hyperlink" Target="https://www.city.asahikawa.hokkaido.jp/kurashi/135/171/175/index.html" TargetMode="External" /><Relationship Id="rId3" Type="http://schemas.openxmlformats.org/officeDocument/2006/relationships/hyperlink" Target="https://www.city.asahikawa.hokkaido.jp/kurashi/135/171/175/d059429.html" TargetMode="External" /><Relationship Id="rId4"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40"/>
  <sheetViews>
    <sheetView showGridLines="0" tabSelected="1" zoomScale="90" zoomScaleNormal="90" workbookViewId="0">
      <selection activeCell="B14" sqref="B14"/>
    </sheetView>
  </sheetViews>
  <sheetFormatPr defaultRowHeight="13.5"/>
  <cols>
    <col min="2" max="2" width="20.125" bestFit="1" customWidth="1"/>
    <col min="3" max="5" width="16.125" customWidth="1"/>
    <col min="6" max="6" width="22.75" customWidth="1"/>
    <col min="7" max="7" width="33.75" customWidth="1"/>
    <col min="8" max="8" width="13" customWidth="1"/>
  </cols>
  <sheetData>
    <row r="1" spans="1:7" ht="27" customHeight="1">
      <c r="A1" s="1" t="s">
        <v>236</v>
      </c>
    </row>
    <row r="2" spans="1:7" ht="27" customHeight="1"/>
    <row r="3" spans="1:7" ht="27" customHeight="1">
      <c r="A3" t="s">
        <v>214</v>
      </c>
    </row>
    <row r="4" spans="1:7" ht="27" customHeight="1">
      <c r="A4" t="s">
        <v>230</v>
      </c>
    </row>
    <row r="5" spans="1:7" ht="27" customHeight="1">
      <c r="A5" s="2" t="s">
        <v>212</v>
      </c>
    </row>
    <row r="6" spans="1:7" ht="27" customHeight="1">
      <c r="A6" s="3" t="s">
        <v>237</v>
      </c>
      <c r="B6" s="3"/>
      <c r="C6" s="3"/>
      <c r="D6" s="3"/>
      <c r="E6" s="3"/>
      <c r="F6" s="3"/>
      <c r="G6" s="3"/>
    </row>
    <row r="7" spans="1:7" ht="53.25" customHeight="1">
      <c r="A7" s="4" t="s">
        <v>232</v>
      </c>
      <c r="B7" s="4"/>
      <c r="C7" s="4"/>
      <c r="D7" s="4"/>
      <c r="E7" s="4"/>
      <c r="F7" s="4"/>
      <c r="G7" s="4"/>
    </row>
    <row r="8" spans="1:7" ht="27" customHeight="1">
      <c r="A8" s="2" t="s">
        <v>147</v>
      </c>
    </row>
    <row r="9" spans="1:7" ht="17.25" customHeight="1">
      <c r="A9" s="5" t="s">
        <v>217</v>
      </c>
      <c r="B9" s="5"/>
      <c r="C9" s="5"/>
      <c r="D9" s="5"/>
    </row>
    <row r="10" spans="1:7" ht="27" customHeight="1">
      <c r="A10" t="s">
        <v>216</v>
      </c>
    </row>
    <row r="11" spans="1:7" ht="30" customHeight="1">
      <c r="A11" s="4" t="s">
        <v>231</v>
      </c>
      <c r="B11" s="20"/>
      <c r="C11" s="20"/>
      <c r="D11" s="20"/>
      <c r="E11" s="20"/>
      <c r="F11" s="20"/>
      <c r="G11" s="20"/>
    </row>
    <row r="12" spans="1:7" ht="27" customHeight="1"/>
    <row r="13" spans="1:7" ht="57" customHeight="1">
      <c r="A13" s="6"/>
      <c r="B13" s="21" t="s">
        <v>209</v>
      </c>
      <c r="C13" s="21" t="s">
        <v>210</v>
      </c>
      <c r="D13" s="21" t="s">
        <v>172</v>
      </c>
      <c r="E13" s="39" t="s">
        <v>144</v>
      </c>
      <c r="F13" s="42" t="s">
        <v>218</v>
      </c>
      <c r="G13" s="51" t="s">
        <v>169</v>
      </c>
    </row>
    <row r="14" spans="1:7" ht="27" customHeight="1">
      <c r="A14" s="7" t="s">
        <v>2</v>
      </c>
      <c r="B14" s="22"/>
      <c r="C14" s="33"/>
      <c r="D14" s="33"/>
      <c r="E14" s="40"/>
      <c r="F14" s="43"/>
      <c r="G14" s="52"/>
    </row>
    <row r="15" spans="1:7" ht="27" customHeight="1">
      <c r="A15" s="7" t="s">
        <v>3</v>
      </c>
      <c r="B15" s="22"/>
      <c r="C15" s="33"/>
      <c r="D15" s="33"/>
      <c r="E15" s="40"/>
      <c r="F15" s="44"/>
    </row>
    <row r="16" spans="1:7" ht="27" customHeight="1">
      <c r="A16" s="7" t="s">
        <v>7</v>
      </c>
      <c r="B16" s="22"/>
      <c r="C16" s="33"/>
      <c r="D16" s="33"/>
      <c r="E16" s="40"/>
      <c r="F16" s="44"/>
    </row>
    <row r="17" spans="1:6" ht="27" customHeight="1">
      <c r="A17" s="7" t="s">
        <v>10</v>
      </c>
      <c r="B17" s="22"/>
      <c r="C17" s="33"/>
      <c r="D17" s="33"/>
      <c r="E17" s="40"/>
      <c r="F17" s="44"/>
    </row>
    <row r="18" spans="1:6" ht="27" customHeight="1">
      <c r="A18" s="7" t="s">
        <v>5</v>
      </c>
      <c r="B18" s="22"/>
      <c r="C18" s="33"/>
      <c r="D18" s="33"/>
      <c r="E18" s="40"/>
      <c r="F18" s="44"/>
    </row>
    <row r="19" spans="1:6" ht="27" customHeight="1">
      <c r="A19" s="8" t="s">
        <v>12</v>
      </c>
      <c r="B19" s="22"/>
      <c r="C19" s="33"/>
      <c r="D19" s="33"/>
      <c r="E19" s="40"/>
      <c r="F19" s="44"/>
    </row>
    <row r="20" spans="1:6" ht="27" customHeight="1">
      <c r="A20" s="9" t="s">
        <v>188</v>
      </c>
      <c r="B20" s="23"/>
      <c r="C20" s="34"/>
      <c r="D20" s="34"/>
      <c r="E20" s="41"/>
      <c r="F20" s="45"/>
    </row>
    <row r="21" spans="1:6" ht="26.25" customHeight="1"/>
    <row r="22" spans="1:6" ht="26.25" customHeight="1">
      <c r="A22" s="10" t="s">
        <v>14</v>
      </c>
      <c r="B22" s="24">
        <f>(COUNTA($B14:$B20)-COUNTIF($G14,"加入しない"))</f>
        <v>0</v>
      </c>
    </row>
    <row r="23" spans="1:6" ht="26.25" customHeight="1"/>
    <row r="24" spans="1:6" ht="35.25" customHeight="1">
      <c r="A24" s="11" t="s">
        <v>207</v>
      </c>
      <c r="B24" s="25"/>
      <c r="C24" s="35">
        <f>IFERROR(保険料計算!$G20,0)</f>
        <v>0</v>
      </c>
      <c r="D24" s="37"/>
    </row>
    <row r="25" spans="1:6" ht="35.25" customHeight="1">
      <c r="A25" s="12" t="s">
        <v>208</v>
      </c>
      <c r="B25" s="26"/>
      <c r="C25" s="36">
        <f>$C24/12</f>
        <v>0</v>
      </c>
      <c r="D25" s="38"/>
    </row>
    <row r="26" spans="1:6" ht="26.25" customHeight="1">
      <c r="A26" s="13" t="s">
        <v>215</v>
      </c>
    </row>
    <row r="27" spans="1:6" ht="26.25" customHeight="1">
      <c r="A27" s="14" t="s">
        <v>213</v>
      </c>
      <c r="B27" s="14"/>
      <c r="C27" s="14"/>
      <c r="D27" s="14"/>
      <c r="E27" s="14"/>
      <c r="F27" s="14"/>
    </row>
    <row r="28" spans="1:6" ht="43.5" customHeight="1">
      <c r="A28" s="15" t="s">
        <v>220</v>
      </c>
      <c r="B28" s="27"/>
      <c r="C28" s="27"/>
      <c r="D28" s="27"/>
      <c r="E28" s="27"/>
      <c r="F28" s="46"/>
    </row>
    <row r="29" spans="1:6" ht="27" customHeight="1">
      <c r="A29" s="16" t="s">
        <v>221</v>
      </c>
      <c r="B29" s="28"/>
      <c r="C29" s="28"/>
      <c r="D29" s="28"/>
      <c r="E29" s="28"/>
      <c r="F29" s="47"/>
    </row>
    <row r="30" spans="1:6" ht="26.25" customHeight="1">
      <c r="A30" s="17" t="s">
        <v>98</v>
      </c>
      <c r="B30" s="29"/>
      <c r="C30" s="29"/>
      <c r="D30" s="29"/>
      <c r="E30" s="29"/>
      <c r="F30" s="48"/>
    </row>
    <row r="31" spans="1:6" ht="26.25" customHeight="1">
      <c r="A31" s="18" t="s">
        <v>227</v>
      </c>
      <c r="B31" s="30"/>
      <c r="C31" s="30"/>
      <c r="D31" s="30"/>
      <c r="E31" s="30"/>
      <c r="F31" s="49"/>
    </row>
    <row r="32" spans="1:6" ht="26.25" customHeight="1">
      <c r="A32" s="18" t="s">
        <v>174</v>
      </c>
      <c r="B32" s="30"/>
      <c r="C32" s="30"/>
      <c r="D32" s="30"/>
      <c r="E32" s="30"/>
      <c r="F32" s="49"/>
    </row>
    <row r="33" spans="1:6" ht="26.25" customHeight="1">
      <c r="A33" s="18" t="s">
        <v>211</v>
      </c>
      <c r="B33" s="30"/>
      <c r="C33" s="30"/>
      <c r="D33" s="30"/>
      <c r="E33" s="30"/>
      <c r="F33" s="49"/>
    </row>
    <row r="34" spans="1:6" ht="26.25" customHeight="1">
      <c r="A34" s="18" t="s">
        <v>233</v>
      </c>
      <c r="B34" s="31"/>
      <c r="C34" s="31"/>
      <c r="D34" s="31"/>
      <c r="E34" s="31"/>
      <c r="F34" s="49"/>
    </row>
    <row r="35" spans="1:6" ht="26.25" customHeight="1">
      <c r="A35" s="18" t="s">
        <v>226</v>
      </c>
      <c r="B35" s="30"/>
      <c r="C35" s="30"/>
      <c r="D35" s="30"/>
      <c r="E35" s="30"/>
      <c r="F35" s="49"/>
    </row>
    <row r="36" spans="1:6" ht="26.25" customHeight="1">
      <c r="A36" s="18" t="s">
        <v>83</v>
      </c>
      <c r="B36" s="30"/>
      <c r="C36" s="30"/>
      <c r="D36" s="30"/>
      <c r="E36" s="30"/>
      <c r="F36" s="49"/>
    </row>
    <row r="37" spans="1:6" ht="26.25" customHeight="1">
      <c r="A37" s="18" t="s">
        <v>223</v>
      </c>
      <c r="B37" s="30"/>
      <c r="C37" s="30"/>
      <c r="D37" s="30"/>
      <c r="E37" s="30"/>
      <c r="F37" s="49"/>
    </row>
    <row r="38" spans="1:6" ht="26.25" customHeight="1">
      <c r="A38" s="18" t="s">
        <v>219</v>
      </c>
      <c r="B38" s="30"/>
      <c r="C38" s="30"/>
      <c r="D38" s="30"/>
      <c r="E38" s="30"/>
      <c r="F38" s="49"/>
    </row>
    <row r="39" spans="1:6" ht="26.25" customHeight="1">
      <c r="A39" s="18" t="s">
        <v>222</v>
      </c>
      <c r="B39" s="30"/>
      <c r="C39" s="30"/>
      <c r="D39" s="30"/>
      <c r="E39" s="30"/>
      <c r="F39" s="49"/>
    </row>
    <row r="40" spans="1:6" ht="27" customHeight="1">
      <c r="A40" s="19" t="s">
        <v>238</v>
      </c>
      <c r="B40" s="32"/>
      <c r="C40" s="32"/>
      <c r="D40" s="32"/>
      <c r="E40" s="32"/>
      <c r="F40" s="50"/>
    </row>
    <row r="41" spans="1:6" ht="14.25"/>
  </sheetData>
  <sheetProtection password="C05D" sheet="1" objects="1" scenarios="1"/>
  <mergeCells count="21">
    <mergeCell ref="A6:G6"/>
    <mergeCell ref="A7:G7"/>
    <mergeCell ref="A9:D9"/>
    <mergeCell ref="A11:G11"/>
    <mergeCell ref="A24:B24"/>
    <mergeCell ref="C24:D24"/>
    <mergeCell ref="A25:B25"/>
    <mergeCell ref="C25:D25"/>
    <mergeCell ref="A27:F27"/>
    <mergeCell ref="A28:F28"/>
    <mergeCell ref="A29:F29"/>
    <mergeCell ref="A30:F30"/>
    <mergeCell ref="A31:F31"/>
    <mergeCell ref="A32:F32"/>
    <mergeCell ref="A33:F33"/>
    <mergeCell ref="A35:F35"/>
    <mergeCell ref="A36:F36"/>
    <mergeCell ref="A37:F37"/>
    <mergeCell ref="A38:F38"/>
    <mergeCell ref="A39:F39"/>
    <mergeCell ref="A40:F40"/>
  </mergeCells>
  <phoneticPr fontId="2"/>
  <dataValidations count="5">
    <dataValidation type="whole" allowBlank="1" showDropDown="0" showInputMessage="1" showErrorMessage="1" sqref="C14:D20">
      <formula1>0</formula1>
      <formula2>9.99999999999999E+66</formula2>
    </dataValidation>
    <dataValidation type="list" allowBlank="1" showDropDown="0" showInputMessage="1" showErrorMessage="1" sqref="B14:B20">
      <formula1>"未就学児,小学生～高校生,３９歳以下,４０～６４歳,６５歳～７４歳,７５歳以上"</formula1>
    </dataValidation>
    <dataValidation type="whole" allowBlank="1" showDropDown="0" showInputMessage="1" showErrorMessage="1" sqref="E14:E20">
      <formula1>-9.99999999999999E+36</formula1>
      <formula2>9.99999999999999E+48</formula2>
    </dataValidation>
    <dataValidation type="list" allowBlank="1" showDropDown="0" showInputMessage="1" showErrorMessage="1" sqref="F14:F20">
      <formula1>"該当あり"</formula1>
    </dataValidation>
    <dataValidation type="list" allowBlank="0" showDropDown="0" showInputMessage="1" showErrorMessage="1" sqref="G14">
      <formula1>"加入する,加入しない"</formula1>
    </dataValidation>
  </dataValidations>
  <hyperlinks>
    <hyperlink ref="F13" r:id="rId1"/>
    <hyperlink ref="A29:F29" r:id="rId2"/>
    <hyperlink ref="A9" r:id="rId3"/>
  </hyperlinks>
  <printOptions horizontalCentered="1" verticalCentered="1"/>
  <pageMargins left="0.23622047244094488" right="0.23622047244094488" top="0.74803149606299213" bottom="0.74803149606299213" header="0.31496062992125984" footer="0.31496062992125984"/>
  <pageSetup paperSize="9" scale="68" fitToWidth="1" fitToHeight="1" orientation="portrait" usePrinterDefaults="1" r:id="rId4"/>
</worksheet>
</file>

<file path=xl/worksheets/sheet2.xml><?xml version="1.0" encoding="utf-8"?>
<worksheet xmlns="http://schemas.openxmlformats.org/spreadsheetml/2006/main" xmlns:r="http://schemas.openxmlformats.org/officeDocument/2006/relationships" xmlns:mc="http://schemas.openxmlformats.org/markup-compatibility/2006">
  <dimension ref="B1:Q26"/>
  <sheetViews>
    <sheetView workbookViewId="0">
      <selection activeCell="B2" sqref="B2"/>
    </sheetView>
  </sheetViews>
  <sheetFormatPr defaultRowHeight="13.5"/>
  <cols>
    <col min="2" max="2" width="11.5" bestFit="1" customWidth="1"/>
    <col min="3" max="3" width="11" bestFit="1" customWidth="1"/>
    <col min="4" max="4" width="8" bestFit="1" customWidth="1"/>
    <col min="5" max="5" width="10.25" bestFit="1" customWidth="1"/>
    <col min="6" max="6" width="9.625" bestFit="1" customWidth="1"/>
    <col min="7" max="7" width="9.75" bestFit="1" customWidth="1"/>
    <col min="8" max="8" width="2.5" bestFit="1" customWidth="1"/>
    <col min="9" max="10" width="11" bestFit="1" customWidth="1"/>
    <col min="11" max="11" width="11.625" bestFit="1" customWidth="1"/>
    <col min="14" max="14" width="11" bestFit="1" customWidth="1"/>
    <col min="16" max="16" width="11" bestFit="1" customWidth="1"/>
    <col min="17" max="17" width="7.25" bestFit="1" customWidth="1"/>
  </cols>
  <sheetData>
    <row r="1" spans="2:17" ht="14.25">
      <c r="B1" s="53" t="s">
        <v>106</v>
      </c>
      <c r="C1" s="55" t="s">
        <v>125</v>
      </c>
      <c r="D1" s="60" t="s">
        <v>126</v>
      </c>
      <c r="E1" s="60" t="s">
        <v>127</v>
      </c>
      <c r="F1" s="69" t="s">
        <v>195</v>
      </c>
      <c r="G1" s="72" t="s">
        <v>11</v>
      </c>
      <c r="I1" s="59" t="s">
        <v>196</v>
      </c>
      <c r="J1" s="61" t="s">
        <v>197</v>
      </c>
      <c r="K1" s="66" t="s">
        <v>198</v>
      </c>
      <c r="L1" s="70"/>
      <c r="M1" s="77" t="s">
        <v>193</v>
      </c>
    </row>
    <row r="2" spans="2:17" ht="14.25">
      <c r="C2" s="56">
        <f>'⑦賦課限度額'!B13</f>
        <v>0</v>
      </c>
      <c r="D2" s="56">
        <f>'⑦賦課限度額'!C13</f>
        <v>0</v>
      </c>
      <c r="E2" s="56">
        <f>'⑦賦課限度額'!D13</f>
        <v>0</v>
      </c>
      <c r="F2" s="56">
        <f>'⑦賦課限度額'!E13</f>
        <v>0</v>
      </c>
      <c r="G2" s="73">
        <f>F2/12</f>
        <v>0</v>
      </c>
      <c r="I2" s="58">
        <v>10</v>
      </c>
      <c r="J2" s="64">
        <f>INT(G5-(INT(G5/I2/100)*100*(I2-1)))</f>
        <v>0</v>
      </c>
      <c r="K2" s="67">
        <f>IF(I2&lt;2,0,INT(G5/I2/100)*100)</f>
        <v>0</v>
      </c>
      <c r="L2" s="71"/>
      <c r="M2" s="78">
        <f>J2+K2*K3</f>
        <v>0</v>
      </c>
      <c r="N2" s="92"/>
    </row>
    <row r="3" spans="2:17">
      <c r="K3" s="68">
        <f>I2-1</f>
        <v>9</v>
      </c>
    </row>
    <row r="4" spans="2:17">
      <c r="C4" s="57" t="s">
        <v>199</v>
      </c>
      <c r="D4" s="61" t="s">
        <v>125</v>
      </c>
      <c r="E4" s="61" t="s">
        <v>126</v>
      </c>
      <c r="F4" s="61" t="s">
        <v>127</v>
      </c>
      <c r="G4" s="74" t="s">
        <v>195</v>
      </c>
    </row>
    <row r="5" spans="2:17">
      <c r="C5" s="58">
        <v>12</v>
      </c>
      <c r="D5" s="62">
        <f>INT(C2/12*C5/10)*10</f>
        <v>0</v>
      </c>
      <c r="E5" s="65">
        <f>INT(D2/12*C5/10)*10</f>
        <v>0</v>
      </c>
      <c r="F5" s="65">
        <f>INT(E2/12*C5/10)*10</f>
        <v>0</v>
      </c>
      <c r="G5" s="62">
        <f>SUM(D5:F5)</f>
        <v>0</v>
      </c>
    </row>
    <row r="8" spans="2:17" ht="30" customHeight="1">
      <c r="G8" s="75" t="s">
        <v>200</v>
      </c>
      <c r="H8" s="79"/>
      <c r="I8" s="84" t="s">
        <v>201</v>
      </c>
      <c r="J8" s="79" t="s">
        <v>63</v>
      </c>
      <c r="K8" s="90" t="s">
        <v>202</v>
      </c>
      <c r="L8" s="79"/>
      <c r="M8" s="79" t="s">
        <v>203</v>
      </c>
      <c r="N8" s="79" t="s">
        <v>204</v>
      </c>
      <c r="O8" s="79"/>
      <c r="P8" s="79" t="s">
        <v>18</v>
      </c>
      <c r="Q8" s="79"/>
    </row>
    <row r="9" spans="2:17" ht="14.25" customHeight="1">
      <c r="B9" s="53"/>
      <c r="G9" s="76"/>
      <c r="H9" s="80"/>
      <c r="I9" s="85"/>
      <c r="J9" s="76"/>
      <c r="K9" s="91"/>
      <c r="L9" s="80"/>
      <c r="M9" s="80"/>
      <c r="N9" s="93"/>
      <c r="O9" s="80"/>
      <c r="P9" s="80"/>
      <c r="Q9" s="93"/>
    </row>
    <row r="10" spans="2:17" ht="13.5" customHeight="1">
      <c r="B10" s="54"/>
      <c r="K10" s="80"/>
      <c r="L10" s="80"/>
      <c r="M10" s="80"/>
      <c r="N10" s="80"/>
      <c r="O10" s="80"/>
      <c r="P10" s="80"/>
      <c r="Q10" s="93"/>
    </row>
    <row r="11" spans="2:17">
      <c r="K11" s="80"/>
      <c r="L11" s="80"/>
      <c r="M11" s="80"/>
      <c r="N11" s="80"/>
      <c r="O11" s="80"/>
      <c r="P11" s="80"/>
      <c r="Q11" s="93"/>
    </row>
    <row r="12" spans="2:17" ht="14.25">
      <c r="K12" s="80"/>
      <c r="L12" s="80"/>
      <c r="M12" s="80"/>
      <c r="N12" s="80"/>
      <c r="O12" s="80"/>
      <c r="P12" s="80"/>
      <c r="Q12" s="93"/>
    </row>
    <row r="13" spans="2:17" ht="14.25">
      <c r="B13" s="53" t="s">
        <v>106</v>
      </c>
      <c r="C13" s="55" t="s">
        <v>125</v>
      </c>
      <c r="D13" s="60" t="s">
        <v>126</v>
      </c>
      <c r="E13" s="60" t="s">
        <v>127</v>
      </c>
      <c r="F13" s="69" t="s">
        <v>195</v>
      </c>
      <c r="G13" s="72" t="s">
        <v>11</v>
      </c>
      <c r="H13" s="81" t="s">
        <v>88</v>
      </c>
      <c r="I13" s="86"/>
      <c r="J13" s="72" t="s">
        <v>205</v>
      </c>
      <c r="K13" s="80"/>
      <c r="L13" s="80"/>
      <c r="M13" s="80"/>
      <c r="N13" s="80"/>
      <c r="O13" s="80"/>
      <c r="P13" s="80"/>
      <c r="Q13" s="93"/>
    </row>
    <row r="14" spans="2:17" ht="15">
      <c r="B14" s="54" t="s">
        <v>205</v>
      </c>
      <c r="C14" s="56">
        <f>C2</f>
        <v>0</v>
      </c>
      <c r="D14" s="63">
        <f>D2</f>
        <v>0</v>
      </c>
      <c r="E14" s="63">
        <f>E2</f>
        <v>0</v>
      </c>
      <c r="F14" s="63">
        <f>F2</f>
        <v>0</v>
      </c>
      <c r="G14" s="63">
        <f>G2</f>
        <v>0</v>
      </c>
      <c r="H14" s="82">
        <f>P16+P26</f>
        <v>0</v>
      </c>
      <c r="I14" s="82"/>
      <c r="J14" s="88">
        <f>F14-H14</f>
        <v>0</v>
      </c>
      <c r="K14" s="80"/>
      <c r="L14" s="80"/>
      <c r="M14" s="80"/>
      <c r="N14" s="80"/>
      <c r="O14" s="80"/>
      <c r="P14" s="80"/>
      <c r="Q14" s="93"/>
    </row>
    <row r="15" spans="2:17" ht="14.25">
      <c r="K15" s="80"/>
      <c r="L15" s="80"/>
      <c r="M15" s="80"/>
      <c r="N15" s="80"/>
      <c r="O15" s="80"/>
      <c r="P15" s="80"/>
      <c r="Q15" s="93"/>
    </row>
    <row r="16" spans="2:17" ht="14.25">
      <c r="C16" s="57" t="s">
        <v>199</v>
      </c>
      <c r="D16" s="61" t="s">
        <v>125</v>
      </c>
      <c r="E16" s="61" t="s">
        <v>126</v>
      </c>
      <c r="F16" s="61" t="s">
        <v>127</v>
      </c>
      <c r="G16" s="74" t="s">
        <v>195</v>
      </c>
      <c r="H16" s="81" t="s">
        <v>88</v>
      </c>
      <c r="I16" s="86"/>
      <c r="J16" s="72" t="s">
        <v>205</v>
      </c>
      <c r="K16" s="80"/>
      <c r="L16" s="80"/>
      <c r="M16" s="80"/>
      <c r="N16" s="80"/>
      <c r="O16" s="80"/>
      <c r="P16" s="95"/>
      <c r="Q16" s="93"/>
    </row>
    <row r="17" spans="3:17" ht="29.25" customHeight="1">
      <c r="C17" s="58">
        <v>12</v>
      </c>
      <c r="D17" s="62">
        <f>INT(C14/12*C17/10)*10</f>
        <v>0</v>
      </c>
      <c r="E17" s="65">
        <f>INT(D14/12*C17/10)*10</f>
        <v>0</v>
      </c>
      <c r="F17" s="65">
        <f>INT(E14/12*C17/10)*10</f>
        <v>0</v>
      </c>
      <c r="G17" s="62">
        <f>SUM(D17:F17)</f>
        <v>0</v>
      </c>
      <c r="H17" s="83">
        <f>ROUNDUP(P16/12*C17,-1)+ROUNDUP(P26/12*C17,-1)</f>
        <v>0</v>
      </c>
      <c r="I17" s="87"/>
      <c r="J17" s="89">
        <f>G17-H17</f>
        <v>0</v>
      </c>
      <c r="K17" s="80"/>
      <c r="L17" s="80"/>
      <c r="M17" s="80"/>
      <c r="N17" s="80"/>
      <c r="O17" s="80"/>
      <c r="P17" s="80"/>
      <c r="Q17" s="80"/>
    </row>
    <row r="18" spans="3:17" ht="21.75">
      <c r="K18" s="75" t="s">
        <v>206</v>
      </c>
      <c r="L18" s="79"/>
      <c r="M18" s="79" t="s">
        <v>203</v>
      </c>
      <c r="N18" s="79"/>
      <c r="O18" s="79"/>
      <c r="P18" s="79" t="s">
        <v>18</v>
      </c>
      <c r="Q18" s="79"/>
    </row>
    <row r="19" spans="3:17">
      <c r="C19" s="59" t="s">
        <v>196</v>
      </c>
      <c r="D19" s="61" t="s">
        <v>197</v>
      </c>
      <c r="E19" s="66" t="s">
        <v>198</v>
      </c>
      <c r="F19" s="70"/>
      <c r="G19" s="77" t="s">
        <v>193</v>
      </c>
      <c r="K19" s="80"/>
      <c r="L19" s="80"/>
      <c r="M19" s="80"/>
      <c r="N19" s="94"/>
      <c r="O19" s="80"/>
      <c r="P19" s="80"/>
      <c r="Q19" s="93"/>
    </row>
    <row r="20" spans="3:17" ht="14.25">
      <c r="C20" s="58">
        <v>10</v>
      </c>
      <c r="D20" s="64">
        <f>INT(J17-(INT(J17/C20/100)*100*(C20-1)))</f>
        <v>0</v>
      </c>
      <c r="E20" s="67">
        <f>IF(C20&lt;2,0,INT(J17/C20/100)*100)</f>
        <v>0</v>
      </c>
      <c r="F20" s="71"/>
      <c r="G20" s="78">
        <f>D20+E20*E21</f>
        <v>0</v>
      </c>
      <c r="K20" s="80"/>
      <c r="L20" s="80"/>
      <c r="M20" s="80"/>
      <c r="N20" s="80"/>
      <c r="O20" s="80"/>
      <c r="P20" s="80"/>
      <c r="Q20" s="93"/>
    </row>
    <row r="21" spans="3:17">
      <c r="E21" s="68">
        <f>C20-1</f>
        <v>9</v>
      </c>
      <c r="K21" s="80"/>
      <c r="L21" s="80"/>
      <c r="M21" s="80"/>
      <c r="N21" s="80"/>
      <c r="O21" s="80"/>
      <c r="P21" s="80"/>
      <c r="Q21" s="93"/>
    </row>
    <row r="22" spans="3:17">
      <c r="K22" s="80"/>
      <c r="L22" s="80"/>
      <c r="M22" s="80"/>
      <c r="N22" s="80"/>
      <c r="O22" s="80"/>
      <c r="P22" s="80"/>
      <c r="Q22" s="93"/>
    </row>
    <row r="23" spans="3:17">
      <c r="K23" s="80"/>
      <c r="L23" s="80"/>
      <c r="M23" s="80"/>
      <c r="N23" s="80"/>
      <c r="O23" s="80"/>
      <c r="P23" s="80"/>
      <c r="Q23" s="93"/>
    </row>
    <row r="24" spans="3:17">
      <c r="K24" s="80"/>
      <c r="L24" s="80"/>
      <c r="M24" s="80"/>
      <c r="N24" s="80"/>
      <c r="O24" s="80"/>
      <c r="P24" s="80"/>
      <c r="Q24" s="93"/>
    </row>
    <row r="25" spans="3:17" ht="14.25">
      <c r="K25" s="80"/>
      <c r="L25" s="80"/>
      <c r="M25" s="80"/>
      <c r="N25" s="80"/>
      <c r="O25" s="80"/>
      <c r="P25" s="80"/>
      <c r="Q25" s="93"/>
    </row>
    <row r="26" spans="3:17" ht="14.25">
      <c r="K26" s="80"/>
      <c r="L26" s="80"/>
      <c r="M26" s="80"/>
      <c r="N26" s="94"/>
      <c r="O26" s="80"/>
      <c r="P26" s="95"/>
      <c r="Q26" s="93"/>
    </row>
  </sheetData>
  <mergeCells count="4">
    <mergeCell ref="H13:I13"/>
    <mergeCell ref="H14:I14"/>
    <mergeCell ref="H16:I16"/>
    <mergeCell ref="H17:I17"/>
  </mergeCells>
  <phoneticPr fontId="2"/>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W37"/>
  <sheetViews>
    <sheetView zoomScale="90" zoomScaleNormal="90" workbookViewId="0">
      <selection activeCell="B2" sqref="B2"/>
    </sheetView>
  </sheetViews>
  <sheetFormatPr defaultRowHeight="13.5"/>
  <cols>
    <col min="1" max="2" width="9" style="96" customWidth="1"/>
    <col min="3" max="3" width="10.375" style="96" bestFit="1" customWidth="1"/>
    <col min="4" max="5" width="17.875" style="96" customWidth="1"/>
    <col min="6" max="6" width="12.75" style="96" customWidth="1"/>
    <col min="7" max="7" width="9.5" style="96" bestFit="1" customWidth="1"/>
    <col min="8" max="9" width="10.375" style="96" bestFit="1" customWidth="1"/>
    <col min="10" max="10" width="9.375" style="96" bestFit="1" customWidth="1"/>
    <col min="11" max="13" width="10.375" style="96" bestFit="1" customWidth="1"/>
    <col min="14" max="15" width="9" style="96" customWidth="1"/>
    <col min="16" max="17" width="9.5" style="96" bestFit="1" customWidth="1"/>
    <col min="18" max="16384" width="9" style="96" customWidth="1"/>
  </cols>
  <sheetData>
    <row r="1" spans="1:23">
      <c r="A1" s="96" t="s">
        <v>9</v>
      </c>
    </row>
    <row r="3" spans="1:23" ht="15">
      <c r="A3" s="97" t="s">
        <v>17</v>
      </c>
      <c r="B3" s="100"/>
      <c r="C3" s="100"/>
      <c r="D3" s="119"/>
      <c r="E3" s="100" t="s">
        <v>19</v>
      </c>
      <c r="F3" s="100"/>
      <c r="G3" s="100"/>
      <c r="H3" s="115"/>
      <c r="I3" s="100" t="s">
        <v>23</v>
      </c>
      <c r="J3" s="100"/>
      <c r="K3" s="100"/>
      <c r="L3" s="100"/>
      <c r="M3" s="100"/>
      <c r="N3" s="100"/>
      <c r="O3" s="100"/>
      <c r="P3" s="100"/>
      <c r="Q3" s="100"/>
      <c r="R3" s="100"/>
      <c r="S3" s="100"/>
      <c r="T3" s="100"/>
      <c r="U3" s="100"/>
      <c r="V3" s="100"/>
      <c r="W3" s="145"/>
    </row>
    <row r="4" spans="1:23" ht="15">
      <c r="A4" s="98"/>
      <c r="W4" s="146"/>
    </row>
    <row r="5" spans="1:23" ht="15">
      <c r="A5" s="99"/>
      <c r="B5" s="101"/>
      <c r="C5" s="101" t="s">
        <v>24</v>
      </c>
      <c r="D5" s="101"/>
      <c r="E5" s="101" t="s">
        <v>8</v>
      </c>
      <c r="F5" s="101"/>
      <c r="G5" s="101"/>
      <c r="H5" s="138"/>
      <c r="I5" s="101" t="s">
        <v>26</v>
      </c>
      <c r="J5" s="101"/>
      <c r="K5" s="101"/>
      <c r="L5" s="101"/>
      <c r="M5" s="101"/>
      <c r="N5" s="101"/>
      <c r="O5" s="101"/>
      <c r="P5" s="101"/>
      <c r="Q5" s="101"/>
      <c r="R5" s="101"/>
      <c r="S5" s="101"/>
      <c r="T5" s="101"/>
      <c r="U5" s="101"/>
      <c r="V5" s="101"/>
      <c r="W5" s="147"/>
    </row>
    <row r="6" spans="1:23" ht="14.25"/>
    <row r="7" spans="1:23" ht="13.5" customHeight="1">
      <c r="B7" s="57" t="s">
        <v>4</v>
      </c>
      <c r="C7" s="105" t="s">
        <v>27</v>
      </c>
      <c r="D7" s="120" t="s">
        <v>224</v>
      </c>
      <c r="E7" s="120" t="s">
        <v>225</v>
      </c>
      <c r="F7" s="128" t="s">
        <v>28</v>
      </c>
      <c r="G7" s="132" t="s">
        <v>29</v>
      </c>
      <c r="H7" s="139" t="s">
        <v>31</v>
      </c>
      <c r="I7" s="139"/>
      <c r="J7" s="139"/>
      <c r="K7" s="139"/>
      <c r="L7" s="139"/>
      <c r="M7" s="139"/>
      <c r="N7" s="139"/>
      <c r="O7" s="139"/>
      <c r="P7" s="139"/>
      <c r="Q7" s="139"/>
      <c r="R7" s="139"/>
      <c r="S7" s="140"/>
    </row>
    <row r="8" spans="1:23" ht="15">
      <c r="A8" s="96" t="s">
        <v>2</v>
      </c>
      <c r="B8" s="102">
        <f>COUNTIF(Sheet1!F14,"*")</f>
        <v>0</v>
      </c>
      <c r="C8" s="111">
        <f>Sheet1!C14</f>
        <v>0</v>
      </c>
      <c r="D8" s="121">
        <f t="shared" ref="D8:D14" si="0">C8-G8</f>
        <v>0</v>
      </c>
      <c r="E8" s="126">
        <f>IF(AND('②公的年金所得'!D15+D8&gt;430001,'②公的年金所得'!D15&gt;1000,D8&gt;1000),D8-IF(D8&gt;=100000,IF('②公的年金所得'!D15&lt;100000,'②公的年金所得'!D15,100000),IF(D8&lt;100000,D8)),D8)</f>
        <v>0</v>
      </c>
      <c r="F8" s="129">
        <f t="shared" ref="F8:F14" si="1">IF(B8=1,(E8)*3/10,(E8))</f>
        <v>0</v>
      </c>
      <c r="G8" s="133">
        <f>IF(C8&lt;$E$18+1,G18,H8)</f>
        <v>0</v>
      </c>
      <c r="H8" s="140">
        <f>IF(C8&lt;$E$19+1,G19,I8)</f>
        <v>550000</v>
      </c>
      <c r="I8" s="141">
        <f>IF(C8&lt;$E$20+1,G20,J8)</f>
        <v>-1069000</v>
      </c>
      <c r="J8" s="141">
        <f>IF(C8&lt;$E$21+1,G21,K8)</f>
        <v>-1070000</v>
      </c>
      <c r="K8" s="141">
        <f>IF(C8&lt;$E$22+1,G22,L8)</f>
        <v>-1072000</v>
      </c>
      <c r="L8" s="141">
        <f>IF(C8&lt;$E$23+1,G23,M8)</f>
        <v>-1074000</v>
      </c>
      <c r="M8" s="141">
        <f>IF(C8&lt;$E$24+1,G24,N8)</f>
        <v>-100000</v>
      </c>
      <c r="N8" s="141">
        <f>IF(C8&lt;$E$25+1,G25,O8)</f>
        <v>80000</v>
      </c>
      <c r="O8" s="141">
        <f>IF(C8&lt;$E$26+1,G26,P8)</f>
        <v>440000</v>
      </c>
      <c r="P8" s="141">
        <f>IF(C8&lt;E$27+1,G27,Q8)</f>
        <v>1100000</v>
      </c>
      <c r="Q8" s="141">
        <f>IF(C8&lt;$E$28+1,G28,R8)</f>
        <v>1950000</v>
      </c>
      <c r="R8" s="141" t="b">
        <f>IF(C8&gt;$E$28,G29)</f>
        <v>0</v>
      </c>
    </row>
    <row r="9" spans="1:23" ht="15">
      <c r="A9" s="96" t="s">
        <v>33</v>
      </c>
      <c r="B9" s="102">
        <f>COUNTIF(Sheet1!F15,"*")</f>
        <v>0</v>
      </c>
      <c r="C9" s="111">
        <f>Sheet1!C15</f>
        <v>0</v>
      </c>
      <c r="D9" s="121">
        <f t="shared" si="0"/>
        <v>0</v>
      </c>
      <c r="E9" s="126">
        <f>IF(AND('②公的年金所得'!E15+D9&gt;430001,'②公的年金所得'!E15&gt;1000,D9&gt;1000),D9-IF(D9&gt;=100000,IF('②公的年金所得'!E15&lt;100000,'②公的年金所得'!E15,100000),IF(D9&lt;100000,D9)),D9)</f>
        <v>0</v>
      </c>
      <c r="F9" s="129">
        <f t="shared" si="1"/>
        <v>0</v>
      </c>
      <c r="G9" s="133">
        <f>IF(C9&lt;$E$18+1,H18,H9)</f>
        <v>0</v>
      </c>
      <c r="H9" s="140">
        <f>IF(C9&lt;$E$19+1,H19,I9)</f>
        <v>550000</v>
      </c>
      <c r="I9" s="141">
        <f>IF(C9&lt;$E$20+1,H20,J9)</f>
        <v>-1069000</v>
      </c>
      <c r="J9" s="141">
        <f>IF(C9&lt;$E$21+1,H21,K9)</f>
        <v>-1070000</v>
      </c>
      <c r="K9" s="141">
        <f>IF(C9&lt;$E$22+1,H22,L9)</f>
        <v>-1072000</v>
      </c>
      <c r="L9" s="141">
        <f>IF(C9&lt;$E$23+1,H23,M9)</f>
        <v>-1074000</v>
      </c>
      <c r="M9" s="141">
        <f>IF(C9&lt;$E$24+1,H24,N9)</f>
        <v>-100000</v>
      </c>
      <c r="N9" s="141">
        <f>IF(C9&lt;$E$25+1,H25,O9)</f>
        <v>80000</v>
      </c>
      <c r="O9" s="141">
        <f>IF(C9&lt;$E$26+1,H26,P9)</f>
        <v>440000</v>
      </c>
      <c r="P9" s="141">
        <f>IF(C9&lt;E$27+1,H27,Q9)</f>
        <v>1100000</v>
      </c>
      <c r="Q9" s="141">
        <f>IF(C9&lt;$E$28+1,H28,R9)</f>
        <v>1950000</v>
      </c>
      <c r="R9" s="141" t="b">
        <f>IF(C9&gt;$E$28,H29)</f>
        <v>0</v>
      </c>
    </row>
    <row r="10" spans="1:23" ht="15">
      <c r="A10" s="96" t="s">
        <v>37</v>
      </c>
      <c r="B10" s="102">
        <f>COUNTIF(Sheet1!F16,"*")</f>
        <v>0</v>
      </c>
      <c r="C10" s="111">
        <f>Sheet1!C16</f>
        <v>0</v>
      </c>
      <c r="D10" s="121">
        <f t="shared" si="0"/>
        <v>0</v>
      </c>
      <c r="E10" s="126">
        <f>IF(AND('②公的年金所得'!F15+D10&gt;430001,'②公的年金所得'!F15&gt;1000,D10&gt;1000),D10-IF(D10&gt;=100000,IF('②公的年金所得'!F15&lt;100000,'②公的年金所得'!F15,100000),IF(D10&lt;100000,D10)),D10)</f>
        <v>0</v>
      </c>
      <c r="F10" s="129">
        <f t="shared" si="1"/>
        <v>0</v>
      </c>
      <c r="G10" s="133">
        <f>IF(C10&lt;$E$18+1,I18,H10)</f>
        <v>0</v>
      </c>
      <c r="H10" s="140">
        <f>IF(C10&lt;$E$19+1,I19,I10)</f>
        <v>550000</v>
      </c>
      <c r="I10" s="141">
        <f>IF(C10&lt;$E$20+1,I20,J10)</f>
        <v>-1069000</v>
      </c>
      <c r="J10" s="141">
        <f>IF(C10&lt;$E$21+1,I21,K10)</f>
        <v>-1070000</v>
      </c>
      <c r="K10" s="141">
        <f>IF(C10&lt;$E$22+1,I22,L10)</f>
        <v>-1072000</v>
      </c>
      <c r="L10" s="141">
        <f>IF(C10&lt;$E$23+1,I23,M10)</f>
        <v>-1074000</v>
      </c>
      <c r="M10" s="141">
        <f>IF(C10&lt;$E$24+1,I24,N10)</f>
        <v>-100000</v>
      </c>
      <c r="N10" s="141">
        <f>IF(C10&lt;$E$25+1,I25,O10)</f>
        <v>80000</v>
      </c>
      <c r="O10" s="141">
        <f>IF(C10&lt;$E$26+1,I26,P10)</f>
        <v>440000</v>
      </c>
      <c r="P10" s="141">
        <f>IF(C10&lt;E$27+1,I27,Q10)</f>
        <v>1100000</v>
      </c>
      <c r="Q10" s="141">
        <f>IF(C10&lt;$E$28+1,I28,R10)</f>
        <v>1950000</v>
      </c>
      <c r="R10" s="141" t="b">
        <f>IF(C10&gt;$E$28,I29)</f>
        <v>0</v>
      </c>
    </row>
    <row r="11" spans="1:23" ht="15">
      <c r="A11" s="96" t="s">
        <v>38</v>
      </c>
      <c r="B11" s="102">
        <f>COUNTIF(Sheet1!F17,"*")</f>
        <v>0</v>
      </c>
      <c r="C11" s="111">
        <f>Sheet1!C17</f>
        <v>0</v>
      </c>
      <c r="D11" s="121">
        <f t="shared" si="0"/>
        <v>0</v>
      </c>
      <c r="E11" s="126">
        <f>IF(AND('②公的年金所得'!G15+D11&gt;430001,'②公的年金所得'!G15&gt;1000,D11&gt;1000),D11-IF(D11&gt;=100000,IF('②公的年金所得'!G15&lt;100000,'②公的年金所得'!G15,100000),IF(D11&lt;100000,D11)),D11)</f>
        <v>0</v>
      </c>
      <c r="F11" s="129">
        <f t="shared" si="1"/>
        <v>0</v>
      </c>
      <c r="G11" s="133">
        <f>IF(C11&lt;$E$18+1,J18,H11)</f>
        <v>0</v>
      </c>
      <c r="H11" s="140">
        <f>IF(C11&lt;$E$19+1,J19,I11)</f>
        <v>550000</v>
      </c>
      <c r="I11" s="141">
        <f>IF(C11&lt;$E$20+1,J20,J11)</f>
        <v>-1069000</v>
      </c>
      <c r="J11" s="141">
        <f>IF(C11&lt;$E$21+1,J21,K11)</f>
        <v>-1070000</v>
      </c>
      <c r="K11" s="141">
        <f>IF(C11&lt;$E$22+1,J22,L11)</f>
        <v>-1072000</v>
      </c>
      <c r="L11" s="141">
        <f>IF(C11&lt;$E$23+1,J23,M11)</f>
        <v>-1074000</v>
      </c>
      <c r="M11" s="141">
        <f>IF(C11&lt;$E$24+1,J24,N11)</f>
        <v>-100000</v>
      </c>
      <c r="N11" s="141">
        <f>IF(C11&lt;$E$25+1,J25,O11)</f>
        <v>80000</v>
      </c>
      <c r="O11" s="141">
        <f>IF(C11&lt;$E$26+1,J26,P11)</f>
        <v>440000</v>
      </c>
      <c r="P11" s="141">
        <f>IF(C11&lt;E$27+1,J27,Q11)</f>
        <v>1100000</v>
      </c>
      <c r="Q11" s="141">
        <f>IF(C11&lt;$E$28+1,J28,R11)</f>
        <v>1950000</v>
      </c>
      <c r="R11" s="141" t="b">
        <f>IF(C11&gt;$E$28,J29)</f>
        <v>0</v>
      </c>
    </row>
    <row r="12" spans="1:23" ht="15">
      <c r="A12" s="96" t="s">
        <v>41</v>
      </c>
      <c r="B12" s="102">
        <f>COUNTIF(Sheet1!F18,"*")</f>
        <v>0</v>
      </c>
      <c r="C12" s="111">
        <f>Sheet1!C18</f>
        <v>0</v>
      </c>
      <c r="D12" s="121">
        <f t="shared" si="0"/>
        <v>0</v>
      </c>
      <c r="E12" s="126">
        <f>IF(AND('②公的年金所得'!H15+D12&gt;430001,'②公的年金所得'!H15&gt;1000,D12&gt;1000),D12-IF(D12&gt;=100000,IF('②公的年金所得'!H15&lt;100000,'②公的年金所得'!H15,100000),IF(D12&lt;100000,D12)),D12)</f>
        <v>0</v>
      </c>
      <c r="F12" s="129">
        <f t="shared" si="1"/>
        <v>0</v>
      </c>
      <c r="G12" s="133">
        <f>IF(C12&lt;$E$18+1,K18,H12)</f>
        <v>0</v>
      </c>
      <c r="H12" s="140">
        <f>IF(C12&lt;$E$19+1,K19,I12)</f>
        <v>550000</v>
      </c>
      <c r="I12" s="141">
        <f>IF(C12&lt;$E$20+1,K20,J12)</f>
        <v>-1069000</v>
      </c>
      <c r="J12" s="141">
        <f>IF(C12&lt;$E$21+1,K21,K12)</f>
        <v>-1070000</v>
      </c>
      <c r="K12" s="141">
        <f>IF(C12&lt;$E$22+1,K22,L12)</f>
        <v>-1072000</v>
      </c>
      <c r="L12" s="141">
        <f>IF(C12&lt;$E$23+1,K23,M12)</f>
        <v>-1074000</v>
      </c>
      <c r="M12" s="141">
        <f>IF(C12&lt;$E$24+1,K24,N12)</f>
        <v>-100000</v>
      </c>
      <c r="N12" s="141">
        <f>IF(C12&lt;$E$25+1,K25,O12)</f>
        <v>80000</v>
      </c>
      <c r="O12" s="141">
        <f>IF(C12&lt;$E$26+1,K26,P12)</f>
        <v>440000</v>
      </c>
      <c r="P12" s="141">
        <f>IF(C12&lt;E$27+1,K27,Q12)</f>
        <v>1100000</v>
      </c>
      <c r="Q12" s="141">
        <f>IF(C12&lt;$E$28+1,K28,R12)</f>
        <v>1950000</v>
      </c>
      <c r="R12" s="141" t="b">
        <f>IF(C12&gt;$E$28,K29)</f>
        <v>0</v>
      </c>
    </row>
    <row r="13" spans="1:23" ht="15">
      <c r="A13" s="96" t="s">
        <v>43</v>
      </c>
      <c r="B13" s="103">
        <f>COUNTIF(Sheet1!F19,"*")</f>
        <v>0</v>
      </c>
      <c r="C13" s="112">
        <f>Sheet1!C19</f>
        <v>0</v>
      </c>
      <c r="D13" s="121">
        <f t="shared" si="0"/>
        <v>0</v>
      </c>
      <c r="E13" s="126">
        <f>IF(AND('②公的年金所得'!I15+D13&gt;430001,'②公的年金所得'!I15&gt;1000,D13&gt;1000),D13-IF(D13&gt;=100000,IF('②公的年金所得'!I15&lt;100000,'②公的年金所得'!I15,100000),IF(D13&lt;100000,D13)),D13)</f>
        <v>0</v>
      </c>
      <c r="F13" s="129">
        <f t="shared" si="1"/>
        <v>0</v>
      </c>
      <c r="G13" s="133">
        <f>IF(C13&lt;$E$18+1,L18,H13)</f>
        <v>0</v>
      </c>
      <c r="H13" s="140">
        <f>IF(C13&lt;$E$19+1,L19,I13)</f>
        <v>550000</v>
      </c>
      <c r="I13" s="141">
        <f>IF(C13&lt;$E$20+1,L20,J13)</f>
        <v>-1069000</v>
      </c>
      <c r="J13" s="141">
        <f>IF(C13&lt;$E$21+1,L21,K13)</f>
        <v>-1070000</v>
      </c>
      <c r="K13" s="141">
        <f>IF(C13&lt;$E$22+1,L22,L13)</f>
        <v>-1072000</v>
      </c>
      <c r="L13" s="141">
        <f>IF(C13&lt;$E$23+1,L23,M13)</f>
        <v>-1074000</v>
      </c>
      <c r="M13" s="141">
        <f>IF(C13&lt;$E$24+1,L24,N13)</f>
        <v>-100000</v>
      </c>
      <c r="N13" s="141">
        <f>IF(C13&lt;$E$25+1,L25,O13)</f>
        <v>80000</v>
      </c>
      <c r="O13" s="141">
        <f>IF(C13&lt;$E$26+1,L26,P13)</f>
        <v>440000</v>
      </c>
      <c r="P13" s="141">
        <f>IF(C13&lt;E$27+1,L27,Q13)</f>
        <v>1100000</v>
      </c>
      <c r="Q13" s="141">
        <f>IF(C13&lt;$E$28+1,L28,R13)</f>
        <v>1950000</v>
      </c>
      <c r="R13" s="141" t="b">
        <f>IF(C13&gt;$E$28,L29)</f>
        <v>0</v>
      </c>
    </row>
    <row r="14" spans="1:23" ht="15">
      <c r="A14" s="96" t="s">
        <v>2</v>
      </c>
      <c r="B14" s="103">
        <f>COUNTIF(Sheet1!F20,"*")</f>
        <v>0</v>
      </c>
      <c r="C14" s="112">
        <f>Sheet1!C20</f>
        <v>0</v>
      </c>
      <c r="D14" s="121">
        <f t="shared" si="0"/>
        <v>0</v>
      </c>
      <c r="E14" s="126">
        <f>IF(AND('②公的年金所得'!J15+D14&gt;430001,'②公的年金所得'!J15&gt;1000,D14&gt;1000),D14-IF(D14&gt;=100000,IF('②公的年金所得'!J15&lt;100000,'②公的年金所得'!J15,100000),IF(D14&lt;100000,D14)),D14)</f>
        <v>0</v>
      </c>
      <c r="F14" s="129">
        <f t="shared" si="1"/>
        <v>0</v>
      </c>
      <c r="G14" s="133">
        <f>IF(C14&lt;$E$18+1,M18,H14)</f>
        <v>0</v>
      </c>
      <c r="H14" s="140">
        <v>680000</v>
      </c>
      <c r="I14" s="141">
        <v>680000</v>
      </c>
      <c r="J14" s="141">
        <v>680000</v>
      </c>
      <c r="K14" s="141">
        <v>680000</v>
      </c>
      <c r="L14" s="141">
        <v>680000</v>
      </c>
      <c r="M14" s="141">
        <v>680000</v>
      </c>
      <c r="N14" s="141">
        <v>680000</v>
      </c>
      <c r="O14" s="141">
        <v>840000</v>
      </c>
      <c r="P14" s="141">
        <v>1300000</v>
      </c>
      <c r="Q14" s="141">
        <v>1950000</v>
      </c>
      <c r="R14" s="141" t="b">
        <f>IF(C14&gt;$E$28,L30)</f>
        <v>0</v>
      </c>
    </row>
    <row r="15" spans="1:23" ht="7.5" customHeight="1">
      <c r="C15" s="113"/>
      <c r="D15" s="122"/>
      <c r="E15" s="122"/>
      <c r="F15" s="122"/>
      <c r="G15" s="134"/>
      <c r="H15" s="134"/>
      <c r="I15" s="134"/>
      <c r="J15" s="134"/>
      <c r="K15" s="134"/>
      <c r="L15" s="134"/>
      <c r="M15" s="134"/>
      <c r="N15" s="134"/>
      <c r="O15" s="134"/>
      <c r="P15" s="134"/>
      <c r="Q15" s="134"/>
      <c r="R15" s="134"/>
    </row>
    <row r="16" spans="1:23">
      <c r="G16" s="135" t="s">
        <v>2</v>
      </c>
      <c r="H16" s="135" t="s">
        <v>33</v>
      </c>
      <c r="I16" s="135" t="s">
        <v>37</v>
      </c>
      <c r="J16" s="135" t="s">
        <v>38</v>
      </c>
      <c r="K16" s="135" t="s">
        <v>41</v>
      </c>
      <c r="L16" s="135" t="s">
        <v>43</v>
      </c>
      <c r="M16" s="135" t="s">
        <v>228</v>
      </c>
    </row>
    <row r="17" spans="2:13" ht="14.25">
      <c r="B17" s="103"/>
      <c r="C17" s="114" t="s">
        <v>46</v>
      </c>
      <c r="D17" s="114"/>
      <c r="E17" s="127"/>
      <c r="F17" s="130"/>
      <c r="G17" s="136" t="s">
        <v>48</v>
      </c>
      <c r="H17" s="136" t="s">
        <v>39</v>
      </c>
      <c r="I17" s="136" t="s">
        <v>48</v>
      </c>
      <c r="J17" s="136" t="s">
        <v>48</v>
      </c>
      <c r="K17" s="136" t="s">
        <v>48</v>
      </c>
      <c r="L17" s="136" t="s">
        <v>48</v>
      </c>
      <c r="M17" s="136" t="s">
        <v>108</v>
      </c>
    </row>
    <row r="18" spans="2:13" ht="15">
      <c r="B18" s="104">
        <v>1</v>
      </c>
      <c r="C18" s="115">
        <v>0</v>
      </c>
      <c r="D18" s="123" t="s">
        <v>49</v>
      </c>
      <c r="E18" s="116">
        <v>550999</v>
      </c>
      <c r="F18" s="131" t="s">
        <v>20</v>
      </c>
      <c r="G18" s="137">
        <f>IF(C8&lt;550001,C8,550000)</f>
        <v>0</v>
      </c>
      <c r="H18" s="137">
        <f>IF(C9&lt;550001,C9,550000)</f>
        <v>0</v>
      </c>
      <c r="I18" s="137">
        <f>IF(C10&lt;550001,C10,550000)</f>
        <v>0</v>
      </c>
      <c r="J18" s="137">
        <f>IF(C11&lt;550001,C11,550000)</f>
        <v>0</v>
      </c>
      <c r="K18" s="137">
        <f>IF(C12&lt;550001,C12,550000)</f>
        <v>0</v>
      </c>
      <c r="L18" s="137">
        <f>IF(C13&lt;550001,C13,550000)</f>
        <v>0</v>
      </c>
      <c r="M18" s="137">
        <f>IF(D13&lt;550001,D13,550000)</f>
        <v>0</v>
      </c>
    </row>
    <row r="19" spans="2:13" ht="15">
      <c r="B19" s="105">
        <v>2</v>
      </c>
      <c r="C19" s="116">
        <v>551000</v>
      </c>
      <c r="D19" s="124" t="s">
        <v>49</v>
      </c>
      <c r="E19" s="116">
        <v>1618999</v>
      </c>
      <c r="F19" s="131" t="s">
        <v>20</v>
      </c>
      <c r="G19" s="137">
        <f>C8-(C8-550000)</f>
        <v>550000</v>
      </c>
      <c r="H19" s="137">
        <f>C9-(C9-550000)</f>
        <v>550000</v>
      </c>
      <c r="I19" s="137">
        <f>C10-(C10-550000)</f>
        <v>550000</v>
      </c>
      <c r="J19" s="137">
        <f>C11-(C11-550000)</f>
        <v>550000</v>
      </c>
      <c r="K19" s="137">
        <f>C12-(C12-550000)</f>
        <v>550000</v>
      </c>
      <c r="L19" s="137">
        <f>C13-(C13-550000)</f>
        <v>550000</v>
      </c>
      <c r="M19" s="137">
        <f>D13-(D13-550000)</f>
        <v>550000</v>
      </c>
    </row>
    <row r="20" spans="2:13" ht="15">
      <c r="B20" s="105">
        <v>3</v>
      </c>
      <c r="C20" s="116">
        <v>1619000</v>
      </c>
      <c r="D20" s="124" t="s">
        <v>49</v>
      </c>
      <c r="E20" s="116">
        <v>1619999</v>
      </c>
      <c r="F20" s="131" t="s">
        <v>20</v>
      </c>
      <c r="G20" s="137">
        <f>C8-1069000</f>
        <v>-1069000</v>
      </c>
      <c r="H20" s="137">
        <f>C9-1069000</f>
        <v>-1069000</v>
      </c>
      <c r="I20" s="137">
        <f>C10-1069000</f>
        <v>-1069000</v>
      </c>
      <c r="J20" s="137">
        <f>C11-1069000</f>
        <v>-1069000</v>
      </c>
      <c r="K20" s="137">
        <f>C12-1069000</f>
        <v>-1069000</v>
      </c>
      <c r="L20" s="137">
        <f>C13-1069000</f>
        <v>-1069000</v>
      </c>
      <c r="M20" s="137">
        <f>C11-1069000</f>
        <v>-1069000</v>
      </c>
    </row>
    <row r="21" spans="2:13" ht="15">
      <c r="B21" s="105">
        <v>4</v>
      </c>
      <c r="C21" s="116">
        <v>1620000</v>
      </c>
      <c r="D21" s="124" t="s">
        <v>49</v>
      </c>
      <c r="E21" s="116">
        <v>1621999</v>
      </c>
      <c r="F21" s="131" t="s">
        <v>20</v>
      </c>
      <c r="G21" s="137">
        <f>C8-1070000</f>
        <v>-1070000</v>
      </c>
      <c r="H21" s="137">
        <f>C9-1070000</f>
        <v>-1070000</v>
      </c>
      <c r="I21" s="137">
        <f>C10-1070000</f>
        <v>-1070000</v>
      </c>
      <c r="J21" s="137">
        <f>C11-1070000</f>
        <v>-1070000</v>
      </c>
      <c r="K21" s="137">
        <f>C12-1070000</f>
        <v>-1070000</v>
      </c>
      <c r="L21" s="137">
        <f>C13-1070000</f>
        <v>-1070000</v>
      </c>
      <c r="M21" s="137">
        <f>C14-1070000</f>
        <v>-1070000</v>
      </c>
    </row>
    <row r="22" spans="2:13" ht="15">
      <c r="B22" s="105">
        <v>5</v>
      </c>
      <c r="C22" s="116">
        <v>1622000</v>
      </c>
      <c r="D22" s="124" t="s">
        <v>49</v>
      </c>
      <c r="E22" s="116">
        <v>1623999</v>
      </c>
      <c r="F22" s="131" t="s">
        <v>20</v>
      </c>
      <c r="G22" s="137">
        <f>C8-1072000</f>
        <v>-1072000</v>
      </c>
      <c r="H22" s="137">
        <f>C9-1072000</f>
        <v>-1072000</v>
      </c>
      <c r="I22" s="137">
        <f>C10-1072000</f>
        <v>-1072000</v>
      </c>
      <c r="J22" s="137">
        <f>C11-1072000</f>
        <v>-1072000</v>
      </c>
      <c r="K22" s="137">
        <f>C12-1072000</f>
        <v>-1072000</v>
      </c>
      <c r="L22" s="137">
        <f>C13-1072000</f>
        <v>-1072000</v>
      </c>
      <c r="M22" s="137">
        <f>C14-1072000</f>
        <v>-1072000</v>
      </c>
    </row>
    <row r="23" spans="2:13" ht="15">
      <c r="B23" s="105">
        <v>6</v>
      </c>
      <c r="C23" s="116">
        <v>1624000</v>
      </c>
      <c r="D23" s="124" t="s">
        <v>49</v>
      </c>
      <c r="E23" s="116">
        <v>1627999</v>
      </c>
      <c r="F23" s="131" t="s">
        <v>20</v>
      </c>
      <c r="G23" s="137">
        <f>C8-1074000</f>
        <v>-1074000</v>
      </c>
      <c r="H23" s="137">
        <f>C9-1074000</f>
        <v>-1074000</v>
      </c>
      <c r="I23" s="137">
        <f>C10-1074000</f>
        <v>-1074000</v>
      </c>
      <c r="J23" s="137">
        <f>C11-1074000</f>
        <v>-1074000</v>
      </c>
      <c r="K23" s="137">
        <f>C12-1074000</f>
        <v>-1074000</v>
      </c>
      <c r="L23" s="137">
        <f>C13-1074000</f>
        <v>-1074000</v>
      </c>
      <c r="M23" s="137">
        <f>C14-1074000</f>
        <v>-1074000</v>
      </c>
    </row>
    <row r="24" spans="2:13" ht="15">
      <c r="B24" s="105">
        <v>7</v>
      </c>
      <c r="C24" s="116">
        <v>1628000</v>
      </c>
      <c r="D24" s="124" t="s">
        <v>49</v>
      </c>
      <c r="E24" s="116">
        <v>1799999</v>
      </c>
      <c r="F24" s="131" t="s">
        <v>20</v>
      </c>
      <c r="G24" s="137">
        <f>C8-(ROUNDDOWN(C8/4,-3)*2.4+100000)</f>
        <v>-100000</v>
      </c>
      <c r="H24" s="137">
        <f>C9-(ROUNDDOWN(C9/4,-3)*2.4+100000)</f>
        <v>-100000</v>
      </c>
      <c r="I24" s="137">
        <f>C10-(ROUNDDOWN(C10/4,-3)*2.4+100000)</f>
        <v>-100000</v>
      </c>
      <c r="J24" s="137">
        <f>C11-(ROUNDDOWN(C11/4,-3)*2.4+100000)</f>
        <v>-100000</v>
      </c>
      <c r="K24" s="137">
        <f>C12-(ROUNDDOWN(C12/4,-3)*2.4+100000)</f>
        <v>-100000</v>
      </c>
      <c r="L24" s="137">
        <f>C13-(ROUNDDOWN(C13/4,-3)*2.4+100000)</f>
        <v>-100000</v>
      </c>
      <c r="M24" s="137">
        <f>C14-(ROUNDDOWN(C14/4,-3)*2.4+100000)</f>
        <v>-100000</v>
      </c>
    </row>
    <row r="25" spans="2:13" ht="15">
      <c r="B25" s="105">
        <v>8</v>
      </c>
      <c r="C25" s="116">
        <v>1800000</v>
      </c>
      <c r="D25" s="124" t="s">
        <v>49</v>
      </c>
      <c r="E25" s="116">
        <v>3599999</v>
      </c>
      <c r="F25" s="131" t="s">
        <v>20</v>
      </c>
      <c r="G25" s="137">
        <f>C8-(ROUNDDOWN(C8/4,-3)*2.8-80000)</f>
        <v>80000</v>
      </c>
      <c r="H25" s="137">
        <f>C9-(ROUNDDOWN(C9/4,-3)*2.8-80000)</f>
        <v>80000</v>
      </c>
      <c r="I25" s="137">
        <f>C10-(ROUNDDOWN(C10/4,-3)*2.8-80000)</f>
        <v>80000</v>
      </c>
      <c r="J25" s="137">
        <f>C11-(ROUNDDOWN(C11/4,-3)*2.8-80000)</f>
        <v>80000</v>
      </c>
      <c r="K25" s="137">
        <f>C12-(ROUNDDOWN(C12/4,-3)*2.8-80000)</f>
        <v>80000</v>
      </c>
      <c r="L25" s="137">
        <f>C13-(ROUNDDOWN(C13/4,-3)*2.8-80000)</f>
        <v>80000</v>
      </c>
      <c r="M25" s="137">
        <f>C14-(ROUNDDOWN(C14/4,-3)*2.8-80000)</f>
        <v>80000</v>
      </c>
    </row>
    <row r="26" spans="2:13" ht="15">
      <c r="B26" s="105">
        <v>9</v>
      </c>
      <c r="C26" s="116">
        <v>3600000</v>
      </c>
      <c r="D26" s="124" t="s">
        <v>49</v>
      </c>
      <c r="E26" s="116">
        <v>6599999</v>
      </c>
      <c r="F26" s="131" t="s">
        <v>20</v>
      </c>
      <c r="G26" s="137">
        <f>C8-(ROUNDDOWN(C8/4,-3)*3.2-440000)</f>
        <v>440000</v>
      </c>
      <c r="H26" s="137">
        <f>C9-(ROUNDDOWN(C9/4,-3)*3.2-440000)</f>
        <v>440000</v>
      </c>
      <c r="I26" s="137">
        <f>C10-(ROUNDDOWN(C10/4,-3)*3.2-440000)</f>
        <v>440000</v>
      </c>
      <c r="J26" s="137">
        <f>C11-(ROUNDDOWN(C11/4,-3)*3.2-440000)</f>
        <v>440000</v>
      </c>
      <c r="K26" s="137">
        <f>C12-(ROUNDDOWN(C12/4,-3)*3.2-440000)</f>
        <v>440000</v>
      </c>
      <c r="L26" s="137">
        <f>C13-(ROUNDDOWN(C13/4,-3)*3.2-440000)</f>
        <v>440000</v>
      </c>
      <c r="M26" s="137">
        <f>C14-(ROUNDDOWN(C14/4,-3)*3.2-440000)</f>
        <v>440000</v>
      </c>
    </row>
    <row r="27" spans="2:13" ht="15">
      <c r="B27" s="105">
        <v>10</v>
      </c>
      <c r="C27" s="116">
        <v>6600000</v>
      </c>
      <c r="D27" s="124" t="s">
        <v>49</v>
      </c>
      <c r="E27" s="116">
        <v>8499999</v>
      </c>
      <c r="F27" s="131" t="s">
        <v>20</v>
      </c>
      <c r="G27" s="137">
        <f>C8-(C8*9/10-1100000)</f>
        <v>1100000</v>
      </c>
      <c r="H27" s="137">
        <f>C9-(C9*9/10-1100000)</f>
        <v>1100000</v>
      </c>
      <c r="I27" s="137">
        <f>C10-(C10*9/10-1100000)</f>
        <v>1100000</v>
      </c>
      <c r="J27" s="137">
        <f>C11-(C11*9/10-1100000)</f>
        <v>1100000</v>
      </c>
      <c r="K27" s="137">
        <f>C12-(C12*9/10-1100000)</f>
        <v>1100000</v>
      </c>
      <c r="L27" s="137">
        <f>C13-(C13*9/10-1100000)</f>
        <v>1100000</v>
      </c>
      <c r="M27" s="137">
        <f>C14-(C14*9/10-1100000)</f>
        <v>1100000</v>
      </c>
    </row>
    <row r="28" spans="2:13" ht="15">
      <c r="B28" s="105">
        <v>11</v>
      </c>
      <c r="C28" s="116">
        <v>8500000</v>
      </c>
      <c r="D28" s="124" t="s">
        <v>49</v>
      </c>
      <c r="E28" s="116">
        <v>99999999999</v>
      </c>
      <c r="F28" s="131" t="s">
        <v>20</v>
      </c>
      <c r="G28" s="137">
        <f>C8-(C8-1950000)</f>
        <v>1950000</v>
      </c>
      <c r="H28" s="137">
        <f>C9-(C9-1950000)</f>
        <v>1950000</v>
      </c>
      <c r="I28" s="137">
        <f>C10-(C10-1950000)</f>
        <v>1950000</v>
      </c>
      <c r="J28" s="137">
        <f>C11-(C11-1950000)</f>
        <v>1950000</v>
      </c>
      <c r="K28" s="137">
        <f>C12-(C12-1950000)</f>
        <v>1950000</v>
      </c>
      <c r="L28" s="137">
        <f>C13-(C13-1950000)</f>
        <v>1950000</v>
      </c>
      <c r="M28" s="137">
        <f>C14-(C14-1950000)</f>
        <v>1950000</v>
      </c>
    </row>
    <row r="29" spans="2:13" ht="15">
      <c r="B29" s="105">
        <v>12</v>
      </c>
      <c r="C29" s="116"/>
      <c r="D29" s="125" t="s">
        <v>49</v>
      </c>
      <c r="E29" s="116"/>
      <c r="F29" s="131" t="s">
        <v>20</v>
      </c>
      <c r="G29" s="137"/>
      <c r="H29" s="137"/>
      <c r="I29" s="137"/>
      <c r="J29" s="137"/>
      <c r="K29" s="137"/>
      <c r="L29" s="137"/>
      <c r="M29" s="137"/>
    </row>
    <row r="30" spans="2:13" ht="14.25">
      <c r="B30" s="96" t="s">
        <v>42</v>
      </c>
    </row>
    <row r="31" spans="2:13">
      <c r="B31" s="96" t="s">
        <v>54</v>
      </c>
    </row>
    <row r="32" spans="2:13" ht="27" customHeight="1">
      <c r="B32" s="106" t="s">
        <v>58</v>
      </c>
      <c r="C32" s="107"/>
      <c r="D32" s="107"/>
      <c r="E32" s="107"/>
      <c r="F32" s="107"/>
      <c r="G32" s="107"/>
      <c r="H32" s="107"/>
      <c r="I32" s="107"/>
      <c r="J32" s="107"/>
      <c r="K32" s="107"/>
      <c r="L32" s="107"/>
      <c r="M32" s="107"/>
    </row>
    <row r="33" spans="2:15">
      <c r="B33" s="107"/>
      <c r="C33" s="107"/>
      <c r="D33" s="107"/>
      <c r="E33" s="107"/>
      <c r="F33" s="107"/>
      <c r="G33" s="107"/>
      <c r="H33" s="107"/>
      <c r="I33" s="107"/>
      <c r="J33" s="107"/>
      <c r="K33" s="107"/>
      <c r="L33" s="107"/>
      <c r="M33" s="107"/>
    </row>
    <row r="34" spans="2:15" ht="14.25"/>
    <row r="35" spans="2:15" ht="18">
      <c r="B35" s="108" t="s">
        <v>59</v>
      </c>
      <c r="C35" s="117"/>
      <c r="D35" s="117"/>
      <c r="E35" s="117"/>
      <c r="F35" s="117"/>
      <c r="G35" s="117"/>
      <c r="H35" s="117"/>
      <c r="I35" s="117"/>
      <c r="J35" s="117"/>
      <c r="K35" s="117"/>
      <c r="L35" s="117"/>
      <c r="M35" s="117"/>
      <c r="N35" s="117"/>
      <c r="O35" s="142"/>
    </row>
    <row r="36" spans="2:15" ht="18.75">
      <c r="B36" s="109" t="s">
        <v>60</v>
      </c>
      <c r="O36" s="143"/>
    </row>
    <row r="37" spans="2:15" ht="15.75">
      <c r="B37" s="110" t="s">
        <v>15</v>
      </c>
      <c r="C37" s="118"/>
      <c r="D37" s="118"/>
      <c r="E37" s="118"/>
      <c r="F37" s="118"/>
      <c r="G37" s="118"/>
      <c r="H37" s="118"/>
      <c r="I37" s="118"/>
      <c r="J37" s="118"/>
      <c r="K37" s="118"/>
      <c r="L37" s="118"/>
      <c r="M37" s="118"/>
      <c r="N37" s="118"/>
      <c r="O37" s="144"/>
    </row>
    <row r="38" spans="2:15" ht="14.25"/>
  </sheetData>
  <mergeCells count="3">
    <mergeCell ref="H7:R7"/>
    <mergeCell ref="C17:E17"/>
    <mergeCell ref="B32:L33"/>
  </mergeCells>
  <phoneticPr fontId="2"/>
  <pageMargins left="0.25" right="0.25" top="0.75" bottom="0.75" header="0.3" footer="0.3"/>
  <pageSetup paperSize="9" scale="68" fitToWidth="1" fitToHeight="0"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2:P38"/>
  <sheetViews>
    <sheetView zoomScale="90" zoomScaleNormal="90" workbookViewId="0">
      <selection activeCell="B2" sqref="B2"/>
    </sheetView>
  </sheetViews>
  <sheetFormatPr defaultRowHeight="13.5"/>
  <cols>
    <col min="1" max="1" width="9" style="96" customWidth="1"/>
    <col min="2" max="2" width="10.375" style="96" bestFit="1" customWidth="1"/>
    <col min="3" max="3" width="20" style="96" customWidth="1"/>
    <col min="4" max="4" width="12" style="96" customWidth="1"/>
    <col min="5" max="5" width="10.5" style="96" customWidth="1"/>
    <col min="6" max="6" width="12.125" style="96" customWidth="1"/>
    <col min="7" max="7" width="10.875" style="96" customWidth="1"/>
    <col min="8" max="8" width="10.125" style="96" customWidth="1"/>
    <col min="9" max="9" width="11" style="96" customWidth="1"/>
    <col min="10" max="10" width="10.375" style="96" bestFit="1" customWidth="1"/>
    <col min="11" max="11" width="9.25" style="96" customWidth="1"/>
    <col min="12" max="12" width="9.5" style="96" customWidth="1"/>
    <col min="13" max="13" width="9" style="96" customWidth="1"/>
    <col min="14" max="14" width="13.875" style="96" customWidth="1"/>
    <col min="15" max="16384" width="9" style="96" customWidth="1"/>
  </cols>
  <sheetData>
    <row r="2" spans="1:16" ht="14.25">
      <c r="A2" s="97" t="s">
        <v>30</v>
      </c>
      <c r="B2" s="100"/>
      <c r="C2" s="100"/>
      <c r="D2" s="100"/>
      <c r="E2" s="100"/>
      <c r="F2" s="100"/>
      <c r="G2" s="100"/>
      <c r="H2" s="100"/>
      <c r="I2" s="100"/>
      <c r="J2" s="100"/>
      <c r="K2" s="100"/>
      <c r="L2" s="100"/>
      <c r="M2" s="100"/>
      <c r="N2" s="100"/>
      <c r="O2" s="100"/>
      <c r="P2" s="145"/>
    </row>
    <row r="3" spans="1:16" ht="15">
      <c r="A3" s="98"/>
      <c r="D3" s="115"/>
      <c r="E3" s="167" t="s">
        <v>62</v>
      </c>
      <c r="G3" s="167" t="s">
        <v>1</v>
      </c>
      <c r="P3" s="146"/>
    </row>
    <row r="4" spans="1:16" ht="15">
      <c r="A4" s="98"/>
      <c r="P4" s="146"/>
    </row>
    <row r="5" spans="1:16" ht="18.75">
      <c r="A5" s="99"/>
      <c r="B5" s="101" t="s">
        <v>64</v>
      </c>
      <c r="C5" s="101"/>
      <c r="D5" s="101"/>
      <c r="E5" s="101"/>
      <c r="F5" s="101"/>
      <c r="G5" s="101"/>
      <c r="H5" s="138"/>
      <c r="I5" s="101" t="s">
        <v>13</v>
      </c>
      <c r="J5" s="101"/>
      <c r="K5" s="101"/>
      <c r="L5" s="101"/>
      <c r="M5" s="101"/>
      <c r="N5" s="101"/>
      <c r="O5" s="101"/>
      <c r="P5" s="147"/>
    </row>
    <row r="6" spans="1:16" ht="14.25">
      <c r="A6" s="148"/>
      <c r="B6" s="96" t="s">
        <v>67</v>
      </c>
    </row>
    <row r="7" spans="1:16">
      <c r="B7" s="152">
        <v>45658</v>
      </c>
    </row>
    <row r="8" spans="1:16">
      <c r="C8" s="152"/>
      <c r="D8" s="96" t="s">
        <v>2</v>
      </c>
      <c r="E8" s="96" t="s">
        <v>71</v>
      </c>
      <c r="F8" s="96" t="s">
        <v>37</v>
      </c>
      <c r="G8" s="96" t="s">
        <v>38</v>
      </c>
      <c r="H8" s="96" t="s">
        <v>41</v>
      </c>
      <c r="I8" s="96" t="s">
        <v>43</v>
      </c>
      <c r="J8" s="96" t="s">
        <v>228</v>
      </c>
    </row>
    <row r="9" spans="1:16">
      <c r="B9" s="152"/>
      <c r="C9" s="155" t="s">
        <v>55</v>
      </c>
      <c r="D9" s="112">
        <f>Sheet1!D14</f>
        <v>0</v>
      </c>
      <c r="E9" s="112">
        <f>Sheet1!D15</f>
        <v>0</v>
      </c>
      <c r="F9" s="112">
        <f>Sheet1!D16</f>
        <v>0</v>
      </c>
      <c r="G9" s="112">
        <f>Sheet1!D17</f>
        <v>0</v>
      </c>
      <c r="H9" s="112">
        <f>Sheet1!D18</f>
        <v>0</v>
      </c>
      <c r="I9" s="112">
        <f>Sheet1!D19</f>
        <v>0</v>
      </c>
      <c r="J9" s="112">
        <f>Sheet1!D20</f>
        <v>0</v>
      </c>
    </row>
    <row r="10" spans="1:16">
      <c r="C10" s="103" t="s">
        <v>21</v>
      </c>
      <c r="D10" s="103"/>
      <c r="E10" s="103"/>
      <c r="F10" s="103"/>
      <c r="G10" s="103"/>
      <c r="H10" s="103"/>
      <c r="I10" s="103"/>
      <c r="J10" s="103"/>
    </row>
    <row r="11" spans="1:16">
      <c r="C11" s="96" t="s">
        <v>79</v>
      </c>
      <c r="D11" s="96">
        <f>COUNTIF(Sheet1!B14,"４０～６４歳")+COUNTIF(Sheet1!B14,"３９歳以下")</f>
        <v>0</v>
      </c>
      <c r="E11" s="96">
        <f>COUNTIF(Sheet1!B15,"４０～６４歳")+COUNTIF(Sheet1!B15,"３９歳以下")</f>
        <v>0</v>
      </c>
      <c r="F11" s="96">
        <f>COUNTIF(Sheet1!B16,"４０～６４歳")+COUNTIF(Sheet1!B16,"３９歳以下")</f>
        <v>0</v>
      </c>
      <c r="G11" s="96">
        <f>COUNTIF(Sheet1!B17,"４０～６４歳")+COUNTIF(Sheet1!B17,"３９歳以下")</f>
        <v>0</v>
      </c>
      <c r="H11" s="96">
        <f>COUNTIF(Sheet1!B18,"４０～６４歳")+COUNTIF(Sheet1!B18,"３９歳以下")</f>
        <v>0</v>
      </c>
      <c r="I11" s="96">
        <f>COUNTIF(Sheet1!B19,"４０～６４歳")+COUNTIF(Sheet1!B19,"３９歳以下")</f>
        <v>0</v>
      </c>
      <c r="J11" s="96">
        <f>COUNTIF(Sheet1!B20,"４０～６４歳")+COUNTIF(Sheet1!B20,"３９歳以下")</f>
        <v>0</v>
      </c>
    </row>
    <row r="12" spans="1:16">
      <c r="C12" s="96" t="s">
        <v>25</v>
      </c>
      <c r="D12" s="96">
        <f>COUNTIFS(Sheet1!B14,"６５歳～７４歳")</f>
        <v>0</v>
      </c>
      <c r="E12" s="96">
        <f>COUNTIFS(Sheet1!B15,"６５歳～７４歳")</f>
        <v>0</v>
      </c>
      <c r="F12" s="96">
        <f>COUNTIFS(Sheet1!B16,"６５歳～７４歳")</f>
        <v>0</v>
      </c>
      <c r="G12" s="96">
        <f>COUNTIFS(Sheet1!B17,"６５歳～７４歳")</f>
        <v>0</v>
      </c>
      <c r="H12" s="96">
        <f>COUNTIFS(Sheet1!B18,"６５歳～７４歳")</f>
        <v>0</v>
      </c>
      <c r="I12" s="96">
        <f>COUNTIFS(Sheet1!B19,"６５歳～７４歳")</f>
        <v>0</v>
      </c>
      <c r="J12" s="96">
        <f>COUNTIFS(Sheet1!B20,"６５歳～７４歳")</f>
        <v>0</v>
      </c>
    </row>
    <row r="13" spans="1:16">
      <c r="C13" s="156" t="s">
        <v>72</v>
      </c>
      <c r="D13" s="96">
        <f t="shared" ref="D13:J13" si="0">IF(D9&lt;$B$25,F24,IF(D9&lt;$B$26,F25,IF(D9&lt;$B$27,F26,IF(D9&lt;$B$28,F27,IF(D9&lt;$B$29,F28,IF(D9&gt;$D$28,F29,0))))))</f>
        <v>0</v>
      </c>
      <c r="E13" s="96">
        <f t="shared" si="0"/>
        <v>0</v>
      </c>
      <c r="F13" s="96">
        <f t="shared" si="0"/>
        <v>0</v>
      </c>
      <c r="G13" s="96">
        <f t="shared" si="0"/>
        <v>0</v>
      </c>
      <c r="H13" s="96">
        <f t="shared" si="0"/>
        <v>0</v>
      </c>
      <c r="I13" s="96">
        <f t="shared" si="0"/>
        <v>0</v>
      </c>
      <c r="J13" s="96">
        <f t="shared" si="0"/>
        <v>0</v>
      </c>
    </row>
    <row r="14" spans="1:16" ht="14.25">
      <c r="C14" s="157" t="s">
        <v>51</v>
      </c>
      <c r="D14" s="96">
        <f t="shared" ref="D14:J14" si="1">IF(D9&lt;$B$34,F33,IF(D9&lt;$B$35,F34,IF(D9&lt;$B$36,F35,IF(D9&lt;$B$37,F36,IF(D9&lt;$B$38,F37,IF(D9&gt;$D$37,F38,0))))))</f>
        <v>0</v>
      </c>
      <c r="E14" s="96">
        <f t="shared" si="1"/>
        <v>0</v>
      </c>
      <c r="F14" s="96">
        <f t="shared" si="1"/>
        <v>0</v>
      </c>
      <c r="G14" s="96">
        <f t="shared" si="1"/>
        <v>0</v>
      </c>
      <c r="H14" s="96">
        <f t="shared" si="1"/>
        <v>0</v>
      </c>
      <c r="I14" s="96">
        <f t="shared" si="1"/>
        <v>0</v>
      </c>
      <c r="J14" s="96">
        <f t="shared" si="1"/>
        <v>0</v>
      </c>
    </row>
    <row r="15" spans="1:16" ht="14.25">
      <c r="C15" s="158" t="s">
        <v>61</v>
      </c>
      <c r="D15" s="164">
        <f t="shared" ref="D15:J15" si="2">IF(D12=1,D14,D13)</f>
        <v>0</v>
      </c>
      <c r="E15" s="164">
        <f t="shared" si="2"/>
        <v>0</v>
      </c>
      <c r="F15" s="164">
        <f t="shared" si="2"/>
        <v>0</v>
      </c>
      <c r="G15" s="164">
        <f t="shared" si="2"/>
        <v>0</v>
      </c>
      <c r="H15" s="164">
        <f t="shared" si="2"/>
        <v>0</v>
      </c>
      <c r="I15" s="164">
        <f t="shared" si="2"/>
        <v>0</v>
      </c>
      <c r="J15" s="164">
        <f t="shared" si="2"/>
        <v>0</v>
      </c>
      <c r="K15" s="178" t="s">
        <v>40</v>
      </c>
    </row>
    <row r="16" spans="1:16" ht="3.75" customHeight="1">
      <c r="C16" s="159"/>
      <c r="D16" s="159"/>
      <c r="E16" s="159"/>
      <c r="F16" s="159"/>
      <c r="G16" s="159"/>
      <c r="H16" s="159"/>
      <c r="I16" s="159"/>
      <c r="J16" s="159"/>
    </row>
    <row r="17" spans="1:13" ht="15">
      <c r="C17" s="160" t="s">
        <v>70</v>
      </c>
      <c r="D17" s="129">
        <f t="shared" ref="D17:J17" si="3">IF(D11=1,D15,IF(D15&gt;150000,D15-150000,0))</f>
        <v>0</v>
      </c>
      <c r="E17" s="129">
        <f t="shared" si="3"/>
        <v>0</v>
      </c>
      <c r="F17" s="129">
        <f t="shared" si="3"/>
        <v>0</v>
      </c>
      <c r="G17" s="129">
        <f t="shared" si="3"/>
        <v>0</v>
      </c>
      <c r="H17" s="129">
        <f t="shared" si="3"/>
        <v>0</v>
      </c>
      <c r="I17" s="129">
        <f t="shared" si="3"/>
        <v>0</v>
      </c>
      <c r="J17" s="129">
        <f t="shared" si="3"/>
        <v>0</v>
      </c>
      <c r="K17" s="178" t="s">
        <v>73</v>
      </c>
    </row>
    <row r="18" spans="1:13" ht="14.25">
      <c r="C18" s="134"/>
      <c r="D18" s="165">
        <f t="shared" ref="D18:J18" si="4">IF(D12=1,1,0)</f>
        <v>0</v>
      </c>
      <c r="E18" s="165">
        <f t="shared" si="4"/>
        <v>0</v>
      </c>
      <c r="F18" s="165">
        <f t="shared" si="4"/>
        <v>0</v>
      </c>
      <c r="G18" s="165">
        <f t="shared" si="4"/>
        <v>0</v>
      </c>
      <c r="H18" s="165">
        <f t="shared" si="4"/>
        <v>0</v>
      </c>
      <c r="I18" s="165">
        <f t="shared" si="4"/>
        <v>0</v>
      </c>
      <c r="J18" s="165">
        <f t="shared" si="4"/>
        <v>0</v>
      </c>
      <c r="L18" s="148" t="s">
        <v>53</v>
      </c>
    </row>
    <row r="19" spans="1:13" ht="4.5" customHeight="1">
      <c r="C19" s="134"/>
      <c r="D19" s="134"/>
      <c r="E19" s="134"/>
      <c r="F19" s="134"/>
      <c r="G19" s="134"/>
      <c r="H19" s="134"/>
      <c r="I19" s="134"/>
      <c r="J19" s="177"/>
      <c r="L19" s="148"/>
    </row>
    <row r="20" spans="1:13">
      <c r="C20" s="134"/>
      <c r="D20" s="134"/>
      <c r="E20" s="134"/>
      <c r="F20" s="134"/>
      <c r="G20" s="134"/>
      <c r="H20" s="134"/>
      <c r="I20" s="134"/>
      <c r="J20" s="177"/>
      <c r="K20" s="178" t="s">
        <v>75</v>
      </c>
    </row>
    <row r="22" spans="1:13">
      <c r="A22" s="149" t="s">
        <v>76</v>
      </c>
      <c r="F22" s="149" t="s">
        <v>0</v>
      </c>
    </row>
    <row r="23" spans="1:13" ht="14.25">
      <c r="A23" s="150"/>
      <c r="B23" s="153" t="s">
        <v>77</v>
      </c>
      <c r="C23" s="153"/>
      <c r="D23" s="153"/>
      <c r="E23" s="168"/>
      <c r="F23" s="173" t="s">
        <v>2</v>
      </c>
      <c r="G23" s="176" t="s">
        <v>71</v>
      </c>
      <c r="H23" s="176" t="s">
        <v>37</v>
      </c>
      <c r="I23" s="176" t="s">
        <v>38</v>
      </c>
      <c r="J23" s="176" t="s">
        <v>41</v>
      </c>
      <c r="K23" s="179" t="s">
        <v>43</v>
      </c>
      <c r="L23" s="179" t="s">
        <v>228</v>
      </c>
    </row>
    <row r="24" spans="1:13" ht="15">
      <c r="A24" s="105">
        <v>1</v>
      </c>
      <c r="B24" s="115">
        <v>0</v>
      </c>
      <c r="C24" s="161" t="s">
        <v>49</v>
      </c>
      <c r="D24" s="116">
        <v>600000</v>
      </c>
      <c r="E24" s="169" t="s">
        <v>20</v>
      </c>
      <c r="F24" s="115">
        <v>0</v>
      </c>
      <c r="G24" s="115">
        <v>0</v>
      </c>
      <c r="H24" s="115">
        <v>0</v>
      </c>
      <c r="I24" s="115">
        <v>0</v>
      </c>
      <c r="J24" s="115">
        <v>0</v>
      </c>
      <c r="K24" s="115">
        <v>0</v>
      </c>
      <c r="L24" s="115">
        <v>0</v>
      </c>
    </row>
    <row r="25" spans="1:13" ht="15">
      <c r="A25" s="105">
        <v>2</v>
      </c>
      <c r="B25" s="116">
        <v>600001</v>
      </c>
      <c r="C25" s="161" t="s">
        <v>49</v>
      </c>
      <c r="D25" s="116">
        <v>1300000</v>
      </c>
      <c r="E25" s="170" t="s">
        <v>20</v>
      </c>
      <c r="F25" s="116">
        <f t="shared" ref="F25:L25" si="5">D9-600000</f>
        <v>-600000</v>
      </c>
      <c r="G25" s="116">
        <f t="shared" si="5"/>
        <v>-600000</v>
      </c>
      <c r="H25" s="116">
        <f t="shared" si="5"/>
        <v>-600000</v>
      </c>
      <c r="I25" s="116">
        <f t="shared" si="5"/>
        <v>-600000</v>
      </c>
      <c r="J25" s="116">
        <f t="shared" si="5"/>
        <v>-600000</v>
      </c>
      <c r="K25" s="116">
        <f t="shared" si="5"/>
        <v>-600000</v>
      </c>
      <c r="L25" s="116">
        <f t="shared" si="5"/>
        <v>-600000</v>
      </c>
    </row>
    <row r="26" spans="1:13" ht="15.75">
      <c r="A26" s="105">
        <v>3</v>
      </c>
      <c r="B26" s="116">
        <v>1300001</v>
      </c>
      <c r="C26" s="161" t="s">
        <v>49</v>
      </c>
      <c r="D26" s="116">
        <v>4100000</v>
      </c>
      <c r="E26" s="170" t="s">
        <v>20</v>
      </c>
      <c r="F26" s="174">
        <f t="shared" ref="F26:L26" si="6">ROUNDDOWN(D9*0.75-275000,0)</f>
        <v>-275000</v>
      </c>
      <c r="G26" s="174">
        <f t="shared" si="6"/>
        <v>-275000</v>
      </c>
      <c r="H26" s="174">
        <f t="shared" si="6"/>
        <v>-275000</v>
      </c>
      <c r="I26" s="174">
        <f t="shared" si="6"/>
        <v>-275000</v>
      </c>
      <c r="J26" s="174">
        <f t="shared" si="6"/>
        <v>-275000</v>
      </c>
      <c r="K26" s="174">
        <f t="shared" si="6"/>
        <v>-275000</v>
      </c>
      <c r="L26" s="174">
        <f t="shared" si="6"/>
        <v>-275000</v>
      </c>
      <c r="M26" s="180" t="s">
        <v>74</v>
      </c>
    </row>
    <row r="27" spans="1:13" ht="15">
      <c r="A27" s="105">
        <v>4</v>
      </c>
      <c r="B27" s="116">
        <v>4100001</v>
      </c>
      <c r="C27" s="161" t="s">
        <v>49</v>
      </c>
      <c r="D27" s="116">
        <v>7700000</v>
      </c>
      <c r="E27" s="170" t="s">
        <v>20</v>
      </c>
      <c r="F27" s="174">
        <f t="shared" ref="F27:L27" si="7">ROUNDDOWN(D9*0.85-685000,0)</f>
        <v>-685000</v>
      </c>
      <c r="G27" s="174">
        <f t="shared" si="7"/>
        <v>-685000</v>
      </c>
      <c r="H27" s="174">
        <f t="shared" si="7"/>
        <v>-685000</v>
      </c>
      <c r="I27" s="174">
        <f t="shared" si="7"/>
        <v>-685000</v>
      </c>
      <c r="J27" s="174">
        <f t="shared" si="7"/>
        <v>-685000</v>
      </c>
      <c r="K27" s="174">
        <f t="shared" si="7"/>
        <v>-685000</v>
      </c>
      <c r="L27" s="174">
        <f t="shared" si="7"/>
        <v>-685000</v>
      </c>
    </row>
    <row r="28" spans="1:13" ht="15">
      <c r="A28" s="105">
        <v>5</v>
      </c>
      <c r="B28" s="116">
        <v>7700001</v>
      </c>
      <c r="C28" s="124" t="s">
        <v>49</v>
      </c>
      <c r="D28" s="116">
        <v>10000000</v>
      </c>
      <c r="E28" s="131" t="s">
        <v>20</v>
      </c>
      <c r="F28" s="174">
        <f t="shared" ref="F28:L28" si="8">ROUNDDOWN(D9*0.95-1455000,0)</f>
        <v>-1455000</v>
      </c>
      <c r="G28" s="174">
        <f t="shared" si="8"/>
        <v>-1455000</v>
      </c>
      <c r="H28" s="174">
        <f t="shared" si="8"/>
        <v>-1455000</v>
      </c>
      <c r="I28" s="174">
        <f t="shared" si="8"/>
        <v>-1455000</v>
      </c>
      <c r="J28" s="174">
        <f t="shared" si="8"/>
        <v>-1455000</v>
      </c>
      <c r="K28" s="174">
        <f t="shared" si="8"/>
        <v>-1455000</v>
      </c>
      <c r="L28" s="174">
        <f t="shared" si="8"/>
        <v>-1455000</v>
      </c>
    </row>
    <row r="29" spans="1:13" ht="15">
      <c r="A29" s="105">
        <v>6</v>
      </c>
      <c r="B29" s="116">
        <v>10000001</v>
      </c>
      <c r="C29" s="124" t="s">
        <v>49</v>
      </c>
      <c r="D29" s="116">
        <v>99999999</v>
      </c>
      <c r="E29" s="131" t="s">
        <v>20</v>
      </c>
      <c r="F29" s="116">
        <f t="shared" ref="F29:L29" si="9">D9-1955000</f>
        <v>-1955000</v>
      </c>
      <c r="G29" s="116">
        <f t="shared" si="9"/>
        <v>-1955000</v>
      </c>
      <c r="H29" s="116">
        <f t="shared" si="9"/>
        <v>-1955000</v>
      </c>
      <c r="I29" s="116">
        <f t="shared" si="9"/>
        <v>-1955000</v>
      </c>
      <c r="J29" s="116">
        <f t="shared" si="9"/>
        <v>-1955000</v>
      </c>
      <c r="K29" s="116">
        <f t="shared" si="9"/>
        <v>-1955000</v>
      </c>
      <c r="L29" s="116">
        <f t="shared" si="9"/>
        <v>-1955000</v>
      </c>
    </row>
    <row r="30" spans="1:13" ht="6.75" customHeight="1">
      <c r="B30" s="113"/>
      <c r="C30" s="162"/>
      <c r="D30" s="113"/>
    </row>
    <row r="31" spans="1:13">
      <c r="A31" s="149" t="s">
        <v>78</v>
      </c>
      <c r="F31" s="149" t="s">
        <v>0</v>
      </c>
    </row>
    <row r="32" spans="1:13" ht="14.25">
      <c r="A32" s="150"/>
      <c r="B32" s="154" t="s">
        <v>69</v>
      </c>
      <c r="C32" s="163"/>
      <c r="D32" s="166"/>
      <c r="E32" s="171"/>
      <c r="F32" s="175" t="s">
        <v>2</v>
      </c>
      <c r="G32" s="175" t="s">
        <v>71</v>
      </c>
      <c r="H32" s="175" t="s">
        <v>37</v>
      </c>
      <c r="I32" s="175" t="s">
        <v>38</v>
      </c>
      <c r="J32" s="175" t="s">
        <v>41</v>
      </c>
      <c r="K32" s="175" t="s">
        <v>43</v>
      </c>
      <c r="L32" s="175" t="s">
        <v>228</v>
      </c>
    </row>
    <row r="33" spans="1:13" ht="15">
      <c r="A33" s="151">
        <v>1</v>
      </c>
      <c r="B33" s="115">
        <v>0</v>
      </c>
      <c r="C33" s="161" t="s">
        <v>49</v>
      </c>
      <c r="D33" s="116">
        <v>1100000</v>
      </c>
      <c r="E33" s="170" t="s">
        <v>20</v>
      </c>
      <c r="F33" s="115">
        <v>0</v>
      </c>
      <c r="G33" s="115">
        <v>0</v>
      </c>
      <c r="H33" s="115">
        <v>0</v>
      </c>
      <c r="I33" s="115">
        <v>0</v>
      </c>
      <c r="J33" s="115">
        <v>0</v>
      </c>
      <c r="K33" s="115">
        <v>0</v>
      </c>
      <c r="L33" s="115">
        <v>0</v>
      </c>
    </row>
    <row r="34" spans="1:13" ht="15">
      <c r="A34" s="151">
        <v>2</v>
      </c>
      <c r="B34" s="116">
        <v>1100001</v>
      </c>
      <c r="C34" s="161" t="s">
        <v>49</v>
      </c>
      <c r="D34" s="116">
        <v>3300000</v>
      </c>
      <c r="E34" s="170" t="s">
        <v>20</v>
      </c>
      <c r="F34" s="174">
        <f t="shared" ref="F34:L34" si="10">D9-1100000</f>
        <v>-1100000</v>
      </c>
      <c r="G34" s="174">
        <f t="shared" si="10"/>
        <v>-1100000</v>
      </c>
      <c r="H34" s="174">
        <f t="shared" si="10"/>
        <v>-1100000</v>
      </c>
      <c r="I34" s="174">
        <f t="shared" si="10"/>
        <v>-1100000</v>
      </c>
      <c r="J34" s="174">
        <f t="shared" si="10"/>
        <v>-1100000</v>
      </c>
      <c r="K34" s="174">
        <f t="shared" si="10"/>
        <v>-1100000</v>
      </c>
      <c r="L34" s="174">
        <f t="shared" si="10"/>
        <v>-1100000</v>
      </c>
    </row>
    <row r="35" spans="1:13" ht="15.75">
      <c r="A35" s="151">
        <v>3</v>
      </c>
      <c r="B35" s="116">
        <v>3300001</v>
      </c>
      <c r="C35" s="161" t="s">
        <v>49</v>
      </c>
      <c r="D35" s="116">
        <v>4100000</v>
      </c>
      <c r="E35" s="170" t="s">
        <v>20</v>
      </c>
      <c r="F35" s="174">
        <f t="shared" ref="F35:L35" si="11">ROUNDDOWN(D9*0.75-275000,0)</f>
        <v>-275000</v>
      </c>
      <c r="G35" s="174">
        <f t="shared" si="11"/>
        <v>-275000</v>
      </c>
      <c r="H35" s="174">
        <f t="shared" si="11"/>
        <v>-275000</v>
      </c>
      <c r="I35" s="174">
        <f t="shared" si="11"/>
        <v>-275000</v>
      </c>
      <c r="J35" s="174">
        <f t="shared" si="11"/>
        <v>-275000</v>
      </c>
      <c r="K35" s="174">
        <f t="shared" si="11"/>
        <v>-275000</v>
      </c>
      <c r="L35" s="174">
        <f t="shared" si="11"/>
        <v>-275000</v>
      </c>
      <c r="M35" s="180" t="s">
        <v>74</v>
      </c>
    </row>
    <row r="36" spans="1:13" ht="15">
      <c r="A36" s="151">
        <v>4</v>
      </c>
      <c r="B36" s="116">
        <v>4100001</v>
      </c>
      <c r="C36" s="161" t="s">
        <v>49</v>
      </c>
      <c r="D36" s="116">
        <v>7700000</v>
      </c>
      <c r="E36" s="170" t="s">
        <v>20</v>
      </c>
      <c r="F36" s="174">
        <f t="shared" ref="F36:L36" si="12">ROUNDDOWN(D9*0.85-685000,0)</f>
        <v>-685000</v>
      </c>
      <c r="G36" s="174">
        <f t="shared" si="12"/>
        <v>-685000</v>
      </c>
      <c r="H36" s="174">
        <f t="shared" si="12"/>
        <v>-685000</v>
      </c>
      <c r="I36" s="174">
        <f t="shared" si="12"/>
        <v>-685000</v>
      </c>
      <c r="J36" s="174">
        <f t="shared" si="12"/>
        <v>-685000</v>
      </c>
      <c r="K36" s="174">
        <f t="shared" si="12"/>
        <v>-685000</v>
      </c>
      <c r="L36" s="174">
        <f t="shared" si="12"/>
        <v>-685000</v>
      </c>
    </row>
    <row r="37" spans="1:13" ht="15">
      <c r="A37" s="151">
        <v>5</v>
      </c>
      <c r="B37" s="116">
        <v>7700001</v>
      </c>
      <c r="C37" s="124" t="s">
        <v>49</v>
      </c>
      <c r="D37" s="116">
        <v>10000000</v>
      </c>
      <c r="E37" s="172" t="s">
        <v>20</v>
      </c>
      <c r="F37" s="174">
        <f t="shared" ref="F37:L37" si="13">ROUNDDOWN(D9*0.95-1455000,0)</f>
        <v>-1455000</v>
      </c>
      <c r="G37" s="174">
        <f t="shared" si="13"/>
        <v>-1455000</v>
      </c>
      <c r="H37" s="174">
        <f t="shared" si="13"/>
        <v>-1455000</v>
      </c>
      <c r="I37" s="174">
        <f t="shared" si="13"/>
        <v>-1455000</v>
      </c>
      <c r="J37" s="174">
        <f t="shared" si="13"/>
        <v>-1455000</v>
      </c>
      <c r="K37" s="174">
        <f t="shared" si="13"/>
        <v>-1455000</v>
      </c>
      <c r="L37" s="174">
        <f t="shared" si="13"/>
        <v>-1455000</v>
      </c>
    </row>
    <row r="38" spans="1:13" ht="15">
      <c r="A38" s="151">
        <v>6</v>
      </c>
      <c r="B38" s="116">
        <v>10000001</v>
      </c>
      <c r="C38" s="124" t="s">
        <v>49</v>
      </c>
      <c r="D38" s="116">
        <v>99999999</v>
      </c>
      <c r="E38" s="172" t="s">
        <v>20</v>
      </c>
      <c r="F38" s="116">
        <f t="shared" ref="F38:L38" si="14">D9-1955000</f>
        <v>-1955000</v>
      </c>
      <c r="G38" s="116">
        <f t="shared" si="14"/>
        <v>-1955000</v>
      </c>
      <c r="H38" s="116">
        <f t="shared" si="14"/>
        <v>-1955000</v>
      </c>
      <c r="I38" s="116">
        <f t="shared" si="14"/>
        <v>-1955000</v>
      </c>
      <c r="J38" s="116">
        <f t="shared" si="14"/>
        <v>-1955000</v>
      </c>
      <c r="K38" s="116">
        <f t="shared" si="14"/>
        <v>-1955000</v>
      </c>
      <c r="L38" s="116">
        <f t="shared" si="14"/>
        <v>-1955000</v>
      </c>
    </row>
    <row r="39" spans="1:13" ht="14.25"/>
  </sheetData>
  <mergeCells count="2">
    <mergeCell ref="B23:D23"/>
    <mergeCell ref="B32:D32"/>
  </mergeCells>
  <phoneticPr fontId="2"/>
  <pageMargins left="0.25" right="0.25" top="0.75" bottom="0.75" header="0.3" footer="0.3"/>
  <pageSetup paperSize="9" scale="79" fitToWidth="1" fitToHeight="0"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R39"/>
  <sheetViews>
    <sheetView zoomScale="80" zoomScaleNormal="80" workbookViewId="0">
      <selection activeCell="B2" sqref="B2"/>
    </sheetView>
  </sheetViews>
  <sheetFormatPr defaultRowHeight="13.5"/>
  <cols>
    <col min="1" max="1" width="9" style="96" customWidth="1"/>
    <col min="2" max="2" width="9.625" style="96" bestFit="1" customWidth="1"/>
    <col min="3" max="3" width="9.25" style="96" bestFit="1" customWidth="1"/>
    <col min="4" max="5" width="9" style="96" customWidth="1"/>
    <col min="6" max="6" width="10.375" style="96" bestFit="1" customWidth="1"/>
    <col min="7" max="7" width="9.375" style="96" bestFit="1" customWidth="1"/>
    <col min="8" max="8" width="11.125" style="96" customWidth="1"/>
    <col min="9" max="10" width="9" style="96" customWidth="1"/>
    <col min="11" max="11" width="9.5" style="96" bestFit="1" customWidth="1"/>
    <col min="12" max="16384" width="9" style="96" customWidth="1"/>
  </cols>
  <sheetData>
    <row r="1" spans="1:17" ht="14.25">
      <c r="A1" s="97" t="s">
        <v>65</v>
      </c>
      <c r="B1" s="100"/>
      <c r="C1" s="100"/>
      <c r="D1" s="100"/>
      <c r="E1" s="195"/>
      <c r="F1" s="100" t="s">
        <v>45</v>
      </c>
      <c r="G1" s="100"/>
      <c r="H1" s="100"/>
      <c r="I1" s="100"/>
      <c r="J1" s="100"/>
      <c r="K1" s="100"/>
      <c r="L1" s="100"/>
      <c r="M1" s="100"/>
      <c r="N1" s="100"/>
      <c r="O1" s="100"/>
      <c r="P1" s="100"/>
      <c r="Q1" s="145"/>
    </row>
    <row r="2" spans="1:17">
      <c r="A2" s="99"/>
      <c r="B2" s="101"/>
      <c r="C2" s="101"/>
      <c r="D2" s="101"/>
      <c r="E2" s="101"/>
      <c r="F2" s="101" t="s">
        <v>81</v>
      </c>
      <c r="G2" s="101"/>
      <c r="H2" s="101"/>
      <c r="I2" s="101"/>
      <c r="J2" s="101"/>
      <c r="K2" s="101"/>
      <c r="L2" s="101"/>
      <c r="M2" s="101"/>
      <c r="N2" s="101"/>
      <c r="O2" s="101"/>
      <c r="P2" s="101"/>
      <c r="Q2" s="147"/>
    </row>
    <row r="4" spans="1:17">
      <c r="A4" s="148" t="s">
        <v>36</v>
      </c>
      <c r="B4" s="178" t="s">
        <v>82</v>
      </c>
    </row>
    <row r="5" spans="1:17" ht="14.25">
      <c r="A5" s="96">
        <v>7</v>
      </c>
      <c r="B5" s="152">
        <f>((A5+2018)&amp;"/４/1")*1</f>
        <v>45748</v>
      </c>
      <c r="J5" s="204" t="s">
        <v>6</v>
      </c>
      <c r="K5" s="209"/>
      <c r="L5" s="212" t="s">
        <v>84</v>
      </c>
      <c r="M5" s="161"/>
      <c r="N5" s="213"/>
      <c r="O5" s="212" t="s">
        <v>85</v>
      </c>
      <c r="P5" s="161"/>
      <c r="Q5" s="213"/>
    </row>
    <row r="6" spans="1:17">
      <c r="A6" s="105" t="s">
        <v>86</v>
      </c>
      <c r="B6" s="103"/>
      <c r="C6" s="186" t="s">
        <v>87</v>
      </c>
      <c r="D6" s="191" t="s">
        <v>89</v>
      </c>
      <c r="E6" s="196" t="s">
        <v>90</v>
      </c>
      <c r="F6" s="197" t="s">
        <v>70</v>
      </c>
      <c r="G6" s="200" t="s">
        <v>192</v>
      </c>
      <c r="H6" s="200" t="s">
        <v>234</v>
      </c>
      <c r="I6" s="200" t="s">
        <v>235</v>
      </c>
      <c r="J6" s="205" t="s">
        <v>93</v>
      </c>
      <c r="K6" s="103" t="s">
        <v>94</v>
      </c>
      <c r="L6" s="103" t="s">
        <v>95</v>
      </c>
      <c r="M6" s="103" t="s">
        <v>96</v>
      </c>
      <c r="N6" s="103" t="s">
        <v>97</v>
      </c>
      <c r="O6" s="103" t="s">
        <v>95</v>
      </c>
      <c r="P6" s="103" t="s">
        <v>96</v>
      </c>
      <c r="Q6" s="103" t="s">
        <v>97</v>
      </c>
    </row>
    <row r="7" spans="1:17">
      <c r="A7" s="105">
        <f>COUNTIF(Sheet1!G14,"加入しない")</f>
        <v>0</v>
      </c>
      <c r="B7" s="103" t="s">
        <v>2</v>
      </c>
      <c r="C7" s="187">
        <f>'①給与所得'!F8</f>
        <v>0</v>
      </c>
      <c r="D7" s="112">
        <f>'②公的年金所得'!D17</f>
        <v>0</v>
      </c>
      <c r="E7" s="103">
        <f>Sheet1!E14</f>
        <v>0</v>
      </c>
      <c r="F7" s="198">
        <f t="shared" ref="F7:F13" si="0">SUM(C7:E7)</f>
        <v>0</v>
      </c>
      <c r="G7" s="112">
        <f>'②公的年金所得'!D18</f>
        <v>0</v>
      </c>
      <c r="H7" s="121" t="e">
        <f>_xlfn.IFS(G7=1,_xlfn.IFS('①給与所得'!F8&gt;0,1,'②公的年金所得'!D9&gt;1250000,1))</f>
        <v>#N/A</v>
      </c>
      <c r="I7" s="121" t="e">
        <f>_xlfn.IFS(G7=0,_xlfn.IFS('①給与所得'!F8&gt;0,1,'②公的年金所得'!D15&gt;0,1))</f>
        <v>#N/A</v>
      </c>
      <c r="J7" s="205">
        <v>6</v>
      </c>
      <c r="K7" s="103">
        <v>1</v>
      </c>
      <c r="L7" s="103">
        <f>VLOOKUP($A$5,$A$24:$AL$122,3,FALSE)</f>
        <v>430000</v>
      </c>
      <c r="M7" s="103">
        <f>VLOOKUP($A$5,$A$24:$AL$122,10,FALSE)</f>
        <v>735000</v>
      </c>
      <c r="N7" s="103">
        <f>VLOOKUP($A$5,$A$24:$AL$122,17,FALSE)</f>
        <v>990000</v>
      </c>
      <c r="O7" s="103">
        <v>0</v>
      </c>
      <c r="P7" s="103">
        <f>VLOOKUP($A$5,$A$24:$AL$122,31,FALSE)</f>
        <v>0</v>
      </c>
      <c r="Q7" s="103">
        <f>VLOOKUP($A$5,$A$24:$AR$122,38,FALSE)</f>
        <v>0</v>
      </c>
    </row>
    <row r="8" spans="1:17">
      <c r="B8" s="103" t="s">
        <v>33</v>
      </c>
      <c r="C8" s="187">
        <f>'①給与所得'!F9</f>
        <v>0</v>
      </c>
      <c r="D8" s="112">
        <f>'②公的年金所得'!E17</f>
        <v>0</v>
      </c>
      <c r="E8" s="103">
        <f>Sheet1!E15</f>
        <v>0</v>
      </c>
      <c r="F8" s="198">
        <f t="shared" si="0"/>
        <v>0</v>
      </c>
      <c r="G8" s="112">
        <f>'②公的年金所得'!E18</f>
        <v>0</v>
      </c>
      <c r="H8" s="121" t="e">
        <f>_xlfn.IFS(G8=1,_xlfn.IFS('①給与所得'!F9&gt;0,1,'②公的年金所得'!E9&gt;1250000,1))</f>
        <v>#N/A</v>
      </c>
      <c r="I8" s="121" t="e">
        <f>_xlfn.IFS(G8=0,_xlfn.IFS('①給与所得'!F9&gt;0,1,'②公的年金所得'!E15&gt;0,1))</f>
        <v>#N/A</v>
      </c>
      <c r="K8" s="103">
        <v>2</v>
      </c>
      <c r="L8" s="103">
        <f>VLOOKUP($A$5,$A$24:$AL$122,4,FALSE)</f>
        <v>430000</v>
      </c>
      <c r="M8" s="103">
        <f>VLOOKUP($A$5,$A$24:$AL$122,11,FALSE)</f>
        <v>1040000</v>
      </c>
      <c r="N8" s="103">
        <f>VLOOKUP($A$5,$A$24:$AL$122,18,FALSE)</f>
        <v>1550000</v>
      </c>
      <c r="O8" s="103">
        <f>VLOOKUP($A$5,$A$24:$AL$122,24,FALSE)</f>
        <v>430000</v>
      </c>
      <c r="P8" s="103">
        <f>VLOOKUP($A$5,$A$24:$AL$122,32,FALSE)</f>
        <v>735000</v>
      </c>
      <c r="Q8" s="103">
        <f>VLOOKUP($A$5,$A$24:$AR$122,39,FALSE)</f>
        <v>990000</v>
      </c>
    </row>
    <row r="9" spans="1:17">
      <c r="B9" s="103" t="s">
        <v>37</v>
      </c>
      <c r="C9" s="187">
        <f>'①給与所得'!F10</f>
        <v>0</v>
      </c>
      <c r="D9" s="112">
        <f>'②公的年金所得'!F17</f>
        <v>0</v>
      </c>
      <c r="E9" s="103">
        <f>Sheet1!E16</f>
        <v>0</v>
      </c>
      <c r="F9" s="198">
        <f t="shared" si="0"/>
        <v>0</v>
      </c>
      <c r="G9" s="112">
        <f>'②公的年金所得'!F18</f>
        <v>0</v>
      </c>
      <c r="H9" s="121" t="e">
        <f>_xlfn.IFS(G9=1,_xlfn.IFS('①給与所得'!F10&gt;0,1,'②公的年金所得'!F9&gt;1250000,1))</f>
        <v>#N/A</v>
      </c>
      <c r="I9" s="121" t="e">
        <f>_xlfn.IFS(G9=0,_xlfn.IFS('①給与所得'!F10&gt;0,1,'②公的年金所得'!F15&gt;0,1))</f>
        <v>#N/A</v>
      </c>
      <c r="K9" s="103">
        <v>3</v>
      </c>
      <c r="L9" s="103">
        <f>VLOOKUP($A$5,$A$24:$AL$122,5,FALSE)</f>
        <v>430000</v>
      </c>
      <c r="M9" s="103">
        <f>VLOOKUP($A$5,$A$24:$AL$122,12,FALSE)</f>
        <v>1345000</v>
      </c>
      <c r="N9" s="103">
        <f>VLOOKUP($A$5,$A$24:$AL$122,19,FALSE)</f>
        <v>2110000</v>
      </c>
      <c r="O9" s="103">
        <f>VLOOKUP($A$5,$A$24:$AL$122,25,FALSE)</f>
        <v>430000</v>
      </c>
      <c r="P9" s="103">
        <f>VLOOKUP($A$5,$A$24:$AL$122,33,FALSE)</f>
        <v>1040000</v>
      </c>
      <c r="Q9" s="103">
        <f>VLOOKUP($A$5,$A$24:$AR$122,40,FALSE)</f>
        <v>1550000</v>
      </c>
    </row>
    <row r="10" spans="1:17">
      <c r="B10" s="103" t="s">
        <v>38</v>
      </c>
      <c r="C10" s="187">
        <f>'①給与所得'!F11</f>
        <v>0</v>
      </c>
      <c r="D10" s="112">
        <f>'②公的年金所得'!G17</f>
        <v>0</v>
      </c>
      <c r="E10" s="103">
        <f>Sheet1!E17</f>
        <v>0</v>
      </c>
      <c r="F10" s="198">
        <f t="shared" si="0"/>
        <v>0</v>
      </c>
      <c r="G10" s="112">
        <f>'②公的年金所得'!G18</f>
        <v>0</v>
      </c>
      <c r="H10" s="121" t="e">
        <f>_xlfn.IFS(G10=1,_xlfn.IFS('①給与所得'!F11&gt;0,1,'②公的年金所得'!G9&gt;1250000,1))</f>
        <v>#N/A</v>
      </c>
      <c r="I10" s="121" t="e">
        <f>_xlfn.IFS(G10=0,_xlfn.IFS('①給与所得'!F11&gt;0,1,'②公的年金所得'!G15&gt;0,1))</f>
        <v>#N/A</v>
      </c>
      <c r="K10" s="103">
        <v>4</v>
      </c>
      <c r="L10" s="103">
        <f>VLOOKUP($A$5,$A$24:$AL$122,6,FALSE)</f>
        <v>430000</v>
      </c>
      <c r="M10" s="103">
        <f>VLOOKUP($A$5,$A$24:$AL$122,13,FALSE)</f>
        <v>1650000</v>
      </c>
      <c r="N10" s="103">
        <f>VLOOKUP($A$5,$A$24:$AL$122,20,FALSE)</f>
        <v>2670000</v>
      </c>
      <c r="O10" s="103">
        <f>VLOOKUP($A$5,$A$24:$AL$122,26,FALSE)</f>
        <v>430000</v>
      </c>
      <c r="P10" s="103">
        <f>VLOOKUP($A$5,$A$24:$AL$122,34,FALSE)</f>
        <v>1345000</v>
      </c>
      <c r="Q10" s="103">
        <f>VLOOKUP($A$5,$A$24:$AR$122,41,FALSE)</f>
        <v>2110000</v>
      </c>
    </row>
    <row r="11" spans="1:17">
      <c r="B11" s="103" t="s">
        <v>41</v>
      </c>
      <c r="C11" s="187">
        <f>'①給与所得'!F12</f>
        <v>0</v>
      </c>
      <c r="D11" s="112">
        <f>'②公的年金所得'!H17</f>
        <v>0</v>
      </c>
      <c r="E11" s="103">
        <f>Sheet1!E18</f>
        <v>0</v>
      </c>
      <c r="F11" s="198">
        <f t="shared" si="0"/>
        <v>0</v>
      </c>
      <c r="G11" s="112">
        <f>'②公的年金所得'!H18</f>
        <v>0</v>
      </c>
      <c r="H11" s="121" t="e">
        <f>_xlfn.IFS(G11=1,_xlfn.IFS('①給与所得'!F12&gt;0,1,'②公的年金所得'!H9&gt;1250000,1))</f>
        <v>#N/A</v>
      </c>
      <c r="I11" s="121" t="e">
        <f>_xlfn.IFS(G11=0,_xlfn.IFS('①給与所得'!F12&gt;0,1,'②公的年金所得'!H15&gt;0,1))</f>
        <v>#N/A</v>
      </c>
      <c r="K11" s="103">
        <v>5</v>
      </c>
      <c r="L11" s="103">
        <f>VLOOKUP($A$5,$A$24:$AL$122,7,FALSE)</f>
        <v>430000</v>
      </c>
      <c r="M11" s="103">
        <f>VLOOKUP($A$5,$A$24:$AL$122,14,FALSE)</f>
        <v>1955000</v>
      </c>
      <c r="N11" s="103">
        <f>VLOOKUP($A$5,$A$24:$AL$122,21,FALSE)</f>
        <v>3230000</v>
      </c>
      <c r="O11" s="103">
        <f>VLOOKUP($A$5,$A$24:$AL$122,27,FALSE)</f>
        <v>430000</v>
      </c>
      <c r="P11" s="103">
        <f>VLOOKUP($A$5,$A$24:$AL$122,35,FALSE)</f>
        <v>1650000</v>
      </c>
      <c r="Q11" s="103">
        <f>VLOOKUP($A$5,$A$24:$AR$122,42,FALSE)</f>
        <v>2670000</v>
      </c>
    </row>
    <row r="12" spans="1:17">
      <c r="B12" s="103" t="s">
        <v>43</v>
      </c>
      <c r="C12" s="187">
        <f>'①給与所得'!F13</f>
        <v>0</v>
      </c>
      <c r="D12" s="112">
        <f>'②公的年金所得'!I17</f>
        <v>0</v>
      </c>
      <c r="E12" s="103">
        <f>Sheet1!E19</f>
        <v>0</v>
      </c>
      <c r="F12" s="198">
        <f t="shared" si="0"/>
        <v>0</v>
      </c>
      <c r="G12" s="112">
        <f>'②公的年金所得'!I18</f>
        <v>0</v>
      </c>
      <c r="H12" s="121" t="e">
        <f>_xlfn.IFS(G12=1,_xlfn.IFS('①給与所得'!F13&gt;0,1,'②公的年金所得'!I9&gt;1250000,1))</f>
        <v>#N/A</v>
      </c>
      <c r="I12" s="121" t="e">
        <f>_xlfn.IFS(G12=0,_xlfn.IFS('①給与所得'!F13&gt;0,1,'②公的年金所得'!I15&gt;0,1))</f>
        <v>#N/A</v>
      </c>
      <c r="K12" s="102">
        <v>6</v>
      </c>
      <c r="L12" s="102">
        <f>VLOOKUP($A$5,$A$24:$AL$122,8,FALSE)</f>
        <v>430000</v>
      </c>
      <c r="M12" s="102">
        <f>VLOOKUP($A$5,$A$24:$AL$122,15,FALSE)</f>
        <v>2260000</v>
      </c>
      <c r="N12" s="103">
        <f>VLOOKUP($A$5,$A$24:$AL$122,22,FALSE)</f>
        <v>3790000</v>
      </c>
      <c r="O12" s="102">
        <f>VLOOKUP($A$5,$A$24:$AL$122,28,FALSE)</f>
        <v>430000</v>
      </c>
      <c r="P12" s="102">
        <f>VLOOKUP($A$5,$A$24:$AL$122,36,FALSE)</f>
        <v>1955000</v>
      </c>
      <c r="Q12" s="103">
        <f>VLOOKUP($A$5,$A$24:$AR$122,43,FALSE)</f>
        <v>3230000</v>
      </c>
    </row>
    <row r="13" spans="1:17">
      <c r="B13" s="103" t="s">
        <v>228</v>
      </c>
      <c r="C13" s="187">
        <f>'①給与所得'!F14</f>
        <v>0</v>
      </c>
      <c r="D13" s="112">
        <f>'②公的年金所得'!J17</f>
        <v>0</v>
      </c>
      <c r="E13" s="103">
        <f>Sheet1!E20</f>
        <v>0</v>
      </c>
      <c r="F13" s="198">
        <f t="shared" si="0"/>
        <v>0</v>
      </c>
      <c r="G13" s="112">
        <f>'②公的年金所得'!J18</f>
        <v>0</v>
      </c>
      <c r="H13" s="121" t="e">
        <f>_xlfn.IFS(G13=1,_xlfn.IFS('①給与所得'!F14&gt;0,1,'②公的年金所得'!J9&gt;1250000,1))</f>
        <v>#N/A</v>
      </c>
      <c r="I13" s="121" t="e">
        <f>_xlfn.IFS(G13=0,_xlfn.IFS('①給与所得'!F14&gt;0,1,'②公的年金所得'!J15&gt;0,1))</f>
        <v>#N/A</v>
      </c>
      <c r="K13" s="103">
        <v>7</v>
      </c>
      <c r="L13" s="102">
        <f>VLOOKUP($A$5,$A$24:$AL$122,9,FALSE)</f>
        <v>430000</v>
      </c>
      <c r="M13" s="102">
        <f>VLOOKUP($A$5,$A$24:$AL$122,16,FALSE)</f>
        <v>2565000</v>
      </c>
      <c r="N13" s="103">
        <f>VLOOKUP($A$5,$A$24:$AL$122,23,FALSE)</f>
        <v>4350000</v>
      </c>
      <c r="O13" s="102">
        <f>VLOOKUP($A$5,$A$24:$AL$122,29,FALSE)</f>
        <v>430000</v>
      </c>
      <c r="P13" s="102">
        <f>VLOOKUP($A$5,$A$24:$AL$122,37,FALSE)</f>
        <v>2260000</v>
      </c>
      <c r="Q13" s="103">
        <f>VLOOKUP($A$5,$A$24:$AR$122,44,FALSE)</f>
        <v>3790000</v>
      </c>
    </row>
    <row r="14" spans="1:17">
      <c r="B14" s="168"/>
      <c r="C14" s="168"/>
      <c r="D14" s="130"/>
      <c r="E14" s="103" t="s">
        <v>99</v>
      </c>
      <c r="F14" s="199">
        <f>SUM(F7:F13)-G15</f>
        <v>0</v>
      </c>
      <c r="G14" s="103">
        <f>COUNTIF(H7:I13,"&gt;=1")</f>
        <v>0</v>
      </c>
      <c r="J14" s="206" t="s">
        <v>100</v>
      </c>
      <c r="K14" s="210">
        <f>C15</f>
        <v>0</v>
      </c>
      <c r="L14" s="210" t="e">
        <f>VLOOKUP($C$15,$K$7:$Q$13,2,FALSE)</f>
        <v>#N/A</v>
      </c>
      <c r="M14" s="210" t="e">
        <f>VLOOKUP($C$15,$K$7:$Q$13,3,FALSE)</f>
        <v>#N/A</v>
      </c>
      <c r="N14" s="210" t="e">
        <f>VLOOKUP($C$15,$K$7:$Q$13,4,FALSE)</f>
        <v>#N/A</v>
      </c>
      <c r="O14" s="210" t="e">
        <f>VLOOKUP($C$15,$K$7:$Q$13,5,FALSE)</f>
        <v>#N/A</v>
      </c>
      <c r="P14" s="210" t="e">
        <f>VLOOKUP($C$15,$K$7:$Q$13,6,FALSE)</f>
        <v>#N/A</v>
      </c>
      <c r="Q14" s="210" t="e">
        <f>VLOOKUP($C$15,$K$7:$Q$13,7,FALSE)</f>
        <v>#N/A</v>
      </c>
    </row>
    <row r="15" spans="1:17">
      <c r="B15" s="103" t="s">
        <v>94</v>
      </c>
      <c r="C15" s="103">
        <f>COUNTA(Sheet1!B14:B20)</f>
        <v>0</v>
      </c>
      <c r="G15" s="201">
        <f>IF((G14-1)*100000&lt;0,0,(G14-1)*100000)</f>
        <v>0</v>
      </c>
      <c r="H15" s="201"/>
      <c r="I15" s="201"/>
    </row>
    <row r="16" spans="1:17" ht="14.25">
      <c r="D16" s="192"/>
      <c r="E16" s="103" t="s">
        <v>84</v>
      </c>
      <c r="F16" s="103" t="s">
        <v>85</v>
      </c>
    </row>
    <row r="17" spans="1:44" ht="14.25">
      <c r="D17" s="103" t="s">
        <v>101</v>
      </c>
      <c r="E17" s="103" t="e">
        <f>IF(F14&lt;L14+1,7,IF(F14&lt;M14+1,5,IF(F14&lt;N14+1,2,0)))</f>
        <v>#N/A</v>
      </c>
      <c r="F17" s="103" t="e">
        <f>IF(F14&lt;O14+1,7,IF(F14&lt;P14+1,5,IF(F14&lt;Q14+1,2,IF(F14&gt;Q14+1,0))))</f>
        <v>#N/A</v>
      </c>
      <c r="I17" s="202" t="s">
        <v>102</v>
      </c>
      <c r="J17" s="207"/>
      <c r="K17" s="211" t="e">
        <f>IF(A7=1,F17,E17)</f>
        <v>#N/A</v>
      </c>
    </row>
    <row r="19" spans="1:44">
      <c r="A19" s="181" t="s">
        <v>104</v>
      </c>
    </row>
    <row r="20" spans="1:44">
      <c r="A20" s="182"/>
      <c r="B20" s="184"/>
      <c r="C20" s="66" t="s">
        <v>84</v>
      </c>
      <c r="D20" s="193"/>
      <c r="E20" s="193"/>
      <c r="F20" s="193"/>
      <c r="G20" s="193"/>
      <c r="H20" s="193"/>
      <c r="I20" s="193"/>
      <c r="J20" s="193"/>
      <c r="K20" s="193"/>
      <c r="L20" s="193"/>
      <c r="M20" s="193"/>
      <c r="N20" s="193"/>
      <c r="O20" s="193"/>
      <c r="P20" s="193"/>
      <c r="Q20" s="193"/>
      <c r="R20" s="193"/>
      <c r="S20" s="193"/>
      <c r="T20" s="193"/>
      <c r="U20" s="193"/>
      <c r="V20" s="193"/>
      <c r="W20" s="193"/>
      <c r="X20" s="66" t="s">
        <v>105</v>
      </c>
      <c r="Y20" s="193"/>
      <c r="Z20" s="193"/>
      <c r="AA20" s="193"/>
      <c r="AB20" s="193"/>
      <c r="AC20" s="193"/>
      <c r="AD20" s="193"/>
      <c r="AE20" s="193"/>
      <c r="AF20" s="193"/>
      <c r="AG20" s="193"/>
      <c r="AH20" s="193"/>
      <c r="AI20" s="193"/>
      <c r="AJ20" s="193"/>
      <c r="AK20" s="193"/>
      <c r="AL20" s="193"/>
      <c r="AM20" s="193"/>
      <c r="AN20" s="193"/>
      <c r="AO20" s="193"/>
      <c r="AP20" s="193"/>
      <c r="AQ20" s="193"/>
      <c r="AR20" s="214"/>
    </row>
    <row r="21" spans="1:44">
      <c r="A21" s="183"/>
      <c r="B21" s="185"/>
      <c r="C21" s="66" t="s">
        <v>107</v>
      </c>
      <c r="D21" s="194"/>
      <c r="E21" s="194"/>
      <c r="F21" s="194"/>
      <c r="G21" s="194"/>
      <c r="H21" s="194"/>
      <c r="I21" s="203"/>
      <c r="J21" s="66" t="s">
        <v>109</v>
      </c>
      <c r="K21" s="193"/>
      <c r="L21" s="193"/>
      <c r="M21" s="193"/>
      <c r="N21" s="193"/>
      <c r="O21" s="193"/>
      <c r="P21" s="193"/>
      <c r="Q21" s="66" t="s">
        <v>110</v>
      </c>
      <c r="R21" s="193"/>
      <c r="S21" s="193"/>
      <c r="T21" s="193"/>
      <c r="U21" s="193"/>
      <c r="V21" s="193"/>
      <c r="W21" s="214"/>
      <c r="X21" s="66" t="s">
        <v>107</v>
      </c>
      <c r="Y21" s="193"/>
      <c r="Z21" s="193"/>
      <c r="AA21" s="193"/>
      <c r="AB21" s="193"/>
      <c r="AC21" s="193"/>
      <c r="AD21" s="193"/>
      <c r="AE21" s="66" t="s">
        <v>109</v>
      </c>
      <c r="AF21" s="193"/>
      <c r="AG21" s="193"/>
      <c r="AH21" s="193"/>
      <c r="AI21" s="193"/>
      <c r="AJ21" s="193"/>
      <c r="AK21" s="214"/>
      <c r="AL21" s="61" t="s">
        <v>110</v>
      </c>
      <c r="AM21" s="61"/>
      <c r="AN21" s="61"/>
      <c r="AO21" s="61"/>
      <c r="AP21" s="61"/>
      <c r="AQ21" s="61"/>
      <c r="AR21" s="61"/>
    </row>
    <row r="22" spans="1:44">
      <c r="A22" s="148" t="s">
        <v>36</v>
      </c>
      <c r="B22" s="103" t="s">
        <v>111</v>
      </c>
      <c r="C22" s="103" t="s">
        <v>112</v>
      </c>
      <c r="D22" s="103" t="s">
        <v>113</v>
      </c>
      <c r="E22" s="103" t="s">
        <v>114</v>
      </c>
      <c r="F22" s="103" t="s">
        <v>116</v>
      </c>
      <c r="G22" s="103" t="s">
        <v>118</v>
      </c>
      <c r="H22" s="103" t="s">
        <v>186</v>
      </c>
      <c r="I22" s="103" t="s">
        <v>229</v>
      </c>
      <c r="J22" s="103" t="s">
        <v>112</v>
      </c>
      <c r="K22" s="103" t="s">
        <v>113</v>
      </c>
      <c r="L22" s="103" t="s">
        <v>114</v>
      </c>
      <c r="M22" s="103" t="s">
        <v>116</v>
      </c>
      <c r="N22" s="103" t="s">
        <v>118</v>
      </c>
      <c r="O22" s="103" t="s">
        <v>186</v>
      </c>
      <c r="P22" s="103" t="s">
        <v>229</v>
      </c>
      <c r="Q22" s="103" t="s">
        <v>112</v>
      </c>
      <c r="R22" s="103" t="s">
        <v>113</v>
      </c>
      <c r="S22" s="103" t="s">
        <v>114</v>
      </c>
      <c r="T22" s="103" t="s">
        <v>116</v>
      </c>
      <c r="U22" s="103" t="s">
        <v>118</v>
      </c>
      <c r="V22" s="103" t="s">
        <v>186</v>
      </c>
      <c r="W22" s="103" t="s">
        <v>229</v>
      </c>
      <c r="X22" s="103" t="s">
        <v>112</v>
      </c>
      <c r="Y22" s="103" t="s">
        <v>113</v>
      </c>
      <c r="Z22" s="103" t="s">
        <v>114</v>
      </c>
      <c r="AA22" s="103" t="s">
        <v>116</v>
      </c>
      <c r="AB22" s="103" t="s">
        <v>118</v>
      </c>
      <c r="AC22" s="103" t="s">
        <v>186</v>
      </c>
      <c r="AD22" s="103" t="s">
        <v>229</v>
      </c>
      <c r="AE22" s="103" t="s">
        <v>112</v>
      </c>
      <c r="AF22" s="103" t="s">
        <v>113</v>
      </c>
      <c r="AG22" s="103" t="s">
        <v>114</v>
      </c>
      <c r="AH22" s="103" t="s">
        <v>116</v>
      </c>
      <c r="AI22" s="103" t="s">
        <v>118</v>
      </c>
      <c r="AJ22" s="103" t="s">
        <v>186</v>
      </c>
      <c r="AK22" s="103" t="s">
        <v>229</v>
      </c>
      <c r="AL22" s="103" t="s">
        <v>112</v>
      </c>
      <c r="AM22" s="103" t="s">
        <v>113</v>
      </c>
      <c r="AN22" s="103" t="s">
        <v>114</v>
      </c>
      <c r="AO22" s="103" t="s">
        <v>116</v>
      </c>
      <c r="AP22" s="103" t="s">
        <v>118</v>
      </c>
      <c r="AQ22" s="103" t="s">
        <v>186</v>
      </c>
      <c r="AR22" s="103" t="s">
        <v>229</v>
      </c>
    </row>
    <row r="23" spans="1:44" hidden="1">
      <c r="A23" s="103" t="s">
        <v>119</v>
      </c>
      <c r="B23" s="103">
        <v>2014</v>
      </c>
      <c r="C23" s="188">
        <v>330000</v>
      </c>
      <c r="D23" s="188">
        <v>330000</v>
      </c>
      <c r="E23" s="188">
        <v>330000</v>
      </c>
      <c r="F23" s="188">
        <v>330000</v>
      </c>
      <c r="G23" s="188">
        <v>330000</v>
      </c>
      <c r="H23" s="188"/>
      <c r="I23" s="188"/>
      <c r="J23" s="188">
        <v>575000</v>
      </c>
      <c r="K23" s="188">
        <v>820000</v>
      </c>
      <c r="L23" s="188">
        <v>1065000</v>
      </c>
      <c r="M23" s="188">
        <v>1310000</v>
      </c>
      <c r="N23" s="188">
        <v>1550000</v>
      </c>
      <c r="O23" s="188"/>
      <c r="P23" s="188">
        <v>1800000</v>
      </c>
      <c r="Q23" s="188">
        <v>780000</v>
      </c>
      <c r="R23" s="188">
        <v>1230000</v>
      </c>
      <c r="S23" s="188">
        <v>1680000</v>
      </c>
      <c r="T23" s="188">
        <v>2130000</v>
      </c>
      <c r="U23" s="188">
        <v>2580000</v>
      </c>
      <c r="V23" s="188">
        <v>3030000</v>
      </c>
      <c r="W23" s="188"/>
      <c r="X23" s="188">
        <v>330000</v>
      </c>
      <c r="Y23" s="188">
        <v>330000</v>
      </c>
      <c r="Z23" s="188">
        <v>330000</v>
      </c>
      <c r="AA23" s="188">
        <v>330000</v>
      </c>
      <c r="AB23" s="188">
        <v>330000</v>
      </c>
      <c r="AC23" s="188">
        <v>330000</v>
      </c>
      <c r="AD23" s="188"/>
      <c r="AE23" s="188">
        <v>0</v>
      </c>
      <c r="AF23" s="188">
        <v>575000</v>
      </c>
      <c r="AG23" s="188">
        <v>820000</v>
      </c>
      <c r="AH23" s="188">
        <v>1065000</v>
      </c>
      <c r="AI23" s="188">
        <v>1310000</v>
      </c>
      <c r="AJ23" s="188">
        <v>1555000</v>
      </c>
      <c r="AK23" s="188"/>
      <c r="AL23" s="188">
        <v>0</v>
      </c>
      <c r="AM23" s="188">
        <v>1080000</v>
      </c>
      <c r="AN23" s="188">
        <v>1450000</v>
      </c>
      <c r="AO23" s="188">
        <v>1820000</v>
      </c>
      <c r="AP23" s="188">
        <v>2190000</v>
      </c>
      <c r="AQ23" s="188">
        <v>2580000</v>
      </c>
    </row>
    <row r="24" spans="1:44">
      <c r="A24" s="103">
        <v>27</v>
      </c>
      <c r="B24" s="103">
        <v>2015</v>
      </c>
      <c r="C24" s="188">
        <v>330000</v>
      </c>
      <c r="D24" s="188">
        <v>330000</v>
      </c>
      <c r="E24" s="188">
        <v>330000</v>
      </c>
      <c r="F24" s="188">
        <v>330000</v>
      </c>
      <c r="G24" s="188">
        <v>330000</v>
      </c>
      <c r="H24" s="188">
        <v>330000</v>
      </c>
      <c r="I24" s="188">
        <v>330000</v>
      </c>
      <c r="J24" s="188">
        <v>590000</v>
      </c>
      <c r="K24" s="188">
        <v>850000</v>
      </c>
      <c r="L24" s="188">
        <v>1110000</v>
      </c>
      <c r="M24" s="188">
        <v>1370000</v>
      </c>
      <c r="N24" s="188">
        <v>1630000</v>
      </c>
      <c r="O24" s="188">
        <v>1890000</v>
      </c>
      <c r="P24" s="188"/>
      <c r="Q24" s="188">
        <v>800000</v>
      </c>
      <c r="R24" s="188">
        <v>1270000</v>
      </c>
      <c r="S24" s="188">
        <v>1740000</v>
      </c>
      <c r="T24" s="188">
        <v>2210000</v>
      </c>
      <c r="U24" s="188">
        <v>2680000</v>
      </c>
      <c r="V24" s="188">
        <v>3150000</v>
      </c>
      <c r="W24" s="188"/>
      <c r="X24" s="188">
        <v>330000</v>
      </c>
      <c r="Y24" s="188">
        <v>330000</v>
      </c>
      <c r="Z24" s="188">
        <v>330000</v>
      </c>
      <c r="AA24" s="188">
        <v>330000</v>
      </c>
      <c r="AB24" s="188">
        <v>330000</v>
      </c>
      <c r="AC24" s="188">
        <v>330000</v>
      </c>
      <c r="AD24" s="188"/>
      <c r="AE24" s="188">
        <v>0</v>
      </c>
      <c r="AF24" s="188">
        <v>590000</v>
      </c>
      <c r="AG24" s="188">
        <v>850000</v>
      </c>
      <c r="AH24" s="188">
        <v>1110000</v>
      </c>
      <c r="AI24" s="188">
        <v>1370000</v>
      </c>
      <c r="AJ24" s="188">
        <v>1630000</v>
      </c>
      <c r="AK24" s="188"/>
      <c r="AL24" s="188">
        <v>0</v>
      </c>
      <c r="AM24" s="188">
        <v>1080000</v>
      </c>
      <c r="AN24" s="188">
        <v>1450000</v>
      </c>
      <c r="AO24" s="188">
        <v>1820000</v>
      </c>
      <c r="AP24" s="188">
        <v>2210000</v>
      </c>
      <c r="AQ24" s="188">
        <v>2680000</v>
      </c>
      <c r="AR24" s="188"/>
    </row>
    <row r="25" spans="1:44" ht="14.25">
      <c r="A25" s="103">
        <v>28</v>
      </c>
      <c r="B25" s="103">
        <v>2016</v>
      </c>
      <c r="C25" s="189">
        <v>330000</v>
      </c>
      <c r="D25" s="189">
        <v>330000</v>
      </c>
      <c r="E25" s="189">
        <v>330000</v>
      </c>
      <c r="F25" s="189">
        <v>330000</v>
      </c>
      <c r="G25" s="189">
        <v>330000</v>
      </c>
      <c r="H25" s="189">
        <v>330000</v>
      </c>
      <c r="I25" s="189">
        <v>330000</v>
      </c>
      <c r="J25" s="189">
        <v>595000</v>
      </c>
      <c r="K25" s="189">
        <v>860000</v>
      </c>
      <c r="L25" s="189">
        <v>1125000</v>
      </c>
      <c r="M25" s="189">
        <v>1390000</v>
      </c>
      <c r="N25" s="189">
        <v>1655000</v>
      </c>
      <c r="O25" s="189">
        <v>1920000</v>
      </c>
      <c r="P25" s="189"/>
      <c r="Q25" s="189">
        <v>810000</v>
      </c>
      <c r="R25" s="189">
        <v>1290000</v>
      </c>
      <c r="S25" s="189">
        <v>1770000</v>
      </c>
      <c r="T25" s="189">
        <v>2250000</v>
      </c>
      <c r="U25" s="189">
        <v>2730000</v>
      </c>
      <c r="V25" s="189">
        <v>3210000</v>
      </c>
      <c r="W25" s="189"/>
      <c r="X25" s="189">
        <v>330000</v>
      </c>
      <c r="Y25" s="189">
        <v>330000</v>
      </c>
      <c r="Z25" s="189">
        <v>330000</v>
      </c>
      <c r="AA25" s="189">
        <v>330000</v>
      </c>
      <c r="AB25" s="189">
        <v>330000</v>
      </c>
      <c r="AC25" s="189">
        <v>330000</v>
      </c>
      <c r="AD25" s="189"/>
      <c r="AE25" s="189">
        <v>0</v>
      </c>
      <c r="AF25" s="189">
        <v>595000</v>
      </c>
      <c r="AG25" s="189">
        <v>860000</v>
      </c>
      <c r="AH25" s="189">
        <v>1125000</v>
      </c>
      <c r="AI25" s="189">
        <v>1390000</v>
      </c>
      <c r="AJ25" s="189">
        <v>1655000</v>
      </c>
      <c r="AK25" s="189"/>
      <c r="AL25" s="189">
        <v>0</v>
      </c>
      <c r="AM25" s="189">
        <v>1080000</v>
      </c>
      <c r="AN25" s="189">
        <v>1450000</v>
      </c>
      <c r="AO25" s="189">
        <v>1820000</v>
      </c>
      <c r="AP25" s="189">
        <v>2250000</v>
      </c>
      <c r="AQ25" s="189">
        <v>2730000</v>
      </c>
      <c r="AR25" s="189"/>
    </row>
    <row r="26" spans="1:44" ht="14.25">
      <c r="A26" s="103">
        <v>29</v>
      </c>
      <c r="B26" s="105">
        <v>2017</v>
      </c>
      <c r="C26" s="190">
        <v>330000</v>
      </c>
      <c r="D26" s="190">
        <v>330000</v>
      </c>
      <c r="E26" s="190">
        <v>330000</v>
      </c>
      <c r="F26" s="190">
        <v>330000</v>
      </c>
      <c r="G26" s="190">
        <v>330000</v>
      </c>
      <c r="H26" s="190">
        <v>330000</v>
      </c>
      <c r="I26" s="190">
        <v>330000</v>
      </c>
      <c r="J26" s="190">
        <v>600000</v>
      </c>
      <c r="K26" s="190">
        <v>870000</v>
      </c>
      <c r="L26" s="190">
        <v>1140000</v>
      </c>
      <c r="M26" s="190">
        <v>1410000</v>
      </c>
      <c r="N26" s="190">
        <v>1680000</v>
      </c>
      <c r="O26" s="190">
        <v>1950000</v>
      </c>
      <c r="P26" s="190"/>
      <c r="Q26" s="190">
        <v>820000</v>
      </c>
      <c r="R26" s="190">
        <v>1310000</v>
      </c>
      <c r="S26" s="190">
        <v>1800000</v>
      </c>
      <c r="T26" s="190">
        <v>2290000</v>
      </c>
      <c r="U26" s="190">
        <v>2780000</v>
      </c>
      <c r="V26" s="190">
        <v>3270000</v>
      </c>
      <c r="W26" s="190"/>
      <c r="X26" s="190">
        <v>330000</v>
      </c>
      <c r="Y26" s="190">
        <v>330000</v>
      </c>
      <c r="Z26" s="190">
        <v>330000</v>
      </c>
      <c r="AA26" s="190">
        <v>330000</v>
      </c>
      <c r="AB26" s="190">
        <v>330000</v>
      </c>
      <c r="AC26" s="190">
        <v>330000</v>
      </c>
      <c r="AD26" s="190"/>
      <c r="AE26" s="190">
        <v>0</v>
      </c>
      <c r="AF26" s="190">
        <v>600000</v>
      </c>
      <c r="AG26" s="190">
        <v>870000</v>
      </c>
      <c r="AH26" s="190">
        <v>1140000</v>
      </c>
      <c r="AI26" s="190">
        <v>1410000</v>
      </c>
      <c r="AJ26" s="190">
        <v>1680000</v>
      </c>
      <c r="AK26" s="190"/>
      <c r="AL26" s="190">
        <v>0</v>
      </c>
      <c r="AM26" s="190">
        <v>820000</v>
      </c>
      <c r="AN26" s="190">
        <v>1310000</v>
      </c>
      <c r="AO26" s="190">
        <v>1800000</v>
      </c>
      <c r="AP26" s="190">
        <v>2290000</v>
      </c>
      <c r="AQ26" s="190">
        <v>2780000</v>
      </c>
      <c r="AR26" s="190"/>
    </row>
    <row r="27" spans="1:44" ht="14.25">
      <c r="A27" s="103">
        <v>30</v>
      </c>
      <c r="B27" s="105">
        <v>2018</v>
      </c>
      <c r="C27" s="190">
        <v>330000</v>
      </c>
      <c r="D27" s="190">
        <v>330000</v>
      </c>
      <c r="E27" s="190">
        <v>330000</v>
      </c>
      <c r="F27" s="190">
        <v>330000</v>
      </c>
      <c r="G27" s="190">
        <v>330000</v>
      </c>
      <c r="H27" s="190">
        <v>330000</v>
      </c>
      <c r="I27" s="190">
        <v>330000</v>
      </c>
      <c r="J27" s="190">
        <v>605000</v>
      </c>
      <c r="K27" s="190">
        <v>880000</v>
      </c>
      <c r="L27" s="190">
        <v>1155000</v>
      </c>
      <c r="M27" s="190">
        <v>1430000</v>
      </c>
      <c r="N27" s="190">
        <v>1705000</v>
      </c>
      <c r="O27" s="190">
        <v>1980000</v>
      </c>
      <c r="P27" s="190"/>
      <c r="Q27" s="190">
        <v>830000</v>
      </c>
      <c r="R27" s="190">
        <v>1330000</v>
      </c>
      <c r="S27" s="190">
        <v>1830000</v>
      </c>
      <c r="T27" s="190">
        <v>2330000</v>
      </c>
      <c r="U27" s="190">
        <v>2830000</v>
      </c>
      <c r="V27" s="190">
        <v>3330000</v>
      </c>
      <c r="W27" s="190"/>
      <c r="X27" s="190">
        <v>330000</v>
      </c>
      <c r="Y27" s="190">
        <v>330000</v>
      </c>
      <c r="Z27" s="190">
        <v>330000</v>
      </c>
      <c r="AA27" s="190">
        <v>330000</v>
      </c>
      <c r="AB27" s="190">
        <v>330000</v>
      </c>
      <c r="AC27" s="190">
        <v>330000</v>
      </c>
      <c r="AD27" s="190"/>
      <c r="AE27" s="190">
        <v>0</v>
      </c>
      <c r="AF27" s="190">
        <v>605000</v>
      </c>
      <c r="AG27" s="190">
        <v>880000</v>
      </c>
      <c r="AH27" s="190">
        <v>1155000</v>
      </c>
      <c r="AI27" s="190">
        <v>1430000</v>
      </c>
      <c r="AJ27" s="190">
        <v>1705000</v>
      </c>
      <c r="AK27" s="190"/>
      <c r="AL27" s="190">
        <v>0</v>
      </c>
      <c r="AM27" s="190">
        <v>830000</v>
      </c>
      <c r="AN27" s="190">
        <v>1330000</v>
      </c>
      <c r="AO27" s="190">
        <v>1830000</v>
      </c>
      <c r="AP27" s="190">
        <v>2330000</v>
      </c>
      <c r="AQ27" s="190">
        <v>2830000</v>
      </c>
      <c r="AR27" s="190"/>
    </row>
    <row r="28" spans="1:44" ht="14.25">
      <c r="A28" s="103">
        <v>31</v>
      </c>
      <c r="B28" s="105">
        <v>2019</v>
      </c>
      <c r="C28" s="190">
        <v>330000</v>
      </c>
      <c r="D28" s="190">
        <v>330000</v>
      </c>
      <c r="E28" s="190">
        <v>330000</v>
      </c>
      <c r="F28" s="190">
        <v>330000</v>
      </c>
      <c r="G28" s="190">
        <v>330000</v>
      </c>
      <c r="H28" s="190">
        <v>330000</v>
      </c>
      <c r="I28" s="190">
        <v>330000</v>
      </c>
      <c r="J28" s="190">
        <v>610000</v>
      </c>
      <c r="K28" s="190">
        <v>890000</v>
      </c>
      <c r="L28" s="190">
        <v>1170000</v>
      </c>
      <c r="M28" s="190">
        <v>1450000</v>
      </c>
      <c r="N28" s="190">
        <v>1730000</v>
      </c>
      <c r="O28" s="190">
        <v>2010000</v>
      </c>
      <c r="P28" s="190"/>
      <c r="Q28" s="190">
        <v>840000</v>
      </c>
      <c r="R28" s="190">
        <v>1350000</v>
      </c>
      <c r="S28" s="190">
        <v>1860000</v>
      </c>
      <c r="T28" s="190">
        <v>2370000</v>
      </c>
      <c r="U28" s="190">
        <v>2880000</v>
      </c>
      <c r="V28" s="190">
        <v>3390000</v>
      </c>
      <c r="W28" s="190"/>
      <c r="X28" s="190">
        <v>330000</v>
      </c>
      <c r="Y28" s="190">
        <v>330000</v>
      </c>
      <c r="Z28" s="190">
        <v>330000</v>
      </c>
      <c r="AA28" s="190">
        <v>330000</v>
      </c>
      <c r="AB28" s="190">
        <v>330000</v>
      </c>
      <c r="AC28" s="190">
        <v>330000</v>
      </c>
      <c r="AD28" s="190"/>
      <c r="AE28" s="190">
        <v>0</v>
      </c>
      <c r="AF28" s="190">
        <v>610000</v>
      </c>
      <c r="AG28" s="190">
        <v>890000</v>
      </c>
      <c r="AH28" s="190">
        <v>1170000</v>
      </c>
      <c r="AI28" s="190">
        <v>1450000</v>
      </c>
      <c r="AJ28" s="190">
        <v>1730000</v>
      </c>
      <c r="AK28" s="190"/>
      <c r="AL28" s="190">
        <v>0</v>
      </c>
      <c r="AM28" s="190">
        <v>840000</v>
      </c>
      <c r="AN28" s="190">
        <v>1350000</v>
      </c>
      <c r="AO28" s="190">
        <v>1860000</v>
      </c>
      <c r="AP28" s="190">
        <v>2370000</v>
      </c>
      <c r="AQ28" s="190">
        <v>2880000</v>
      </c>
      <c r="AR28" s="190"/>
    </row>
    <row r="29" spans="1:44" ht="14.25">
      <c r="A29" s="103">
        <v>2</v>
      </c>
      <c r="B29" s="105">
        <v>2020</v>
      </c>
      <c r="C29" s="190">
        <v>330000</v>
      </c>
      <c r="D29" s="190">
        <v>330000</v>
      </c>
      <c r="E29" s="190">
        <v>330000</v>
      </c>
      <c r="F29" s="190">
        <v>330000</v>
      </c>
      <c r="G29" s="190">
        <v>330000</v>
      </c>
      <c r="H29" s="190">
        <v>330000</v>
      </c>
      <c r="I29" s="190">
        <v>330000</v>
      </c>
      <c r="J29" s="190">
        <v>615000</v>
      </c>
      <c r="K29" s="190">
        <v>900000</v>
      </c>
      <c r="L29" s="190">
        <v>1185000</v>
      </c>
      <c r="M29" s="190">
        <v>1470000</v>
      </c>
      <c r="N29" s="190">
        <v>1755000</v>
      </c>
      <c r="O29" s="190">
        <v>2040000</v>
      </c>
      <c r="P29" s="190"/>
      <c r="Q29" s="190">
        <v>850000</v>
      </c>
      <c r="R29" s="190">
        <v>1370000</v>
      </c>
      <c r="S29" s="190">
        <v>1890000</v>
      </c>
      <c r="T29" s="190">
        <v>2410000</v>
      </c>
      <c r="U29" s="190">
        <v>2930000</v>
      </c>
      <c r="V29" s="190">
        <v>3450000</v>
      </c>
      <c r="W29" s="190"/>
      <c r="X29" s="190">
        <v>330000</v>
      </c>
      <c r="Y29" s="190">
        <v>330000</v>
      </c>
      <c r="Z29" s="190">
        <v>330000</v>
      </c>
      <c r="AA29" s="190">
        <v>330000</v>
      </c>
      <c r="AB29" s="190">
        <v>330000</v>
      </c>
      <c r="AC29" s="190">
        <v>330000</v>
      </c>
      <c r="AD29" s="190"/>
      <c r="AE29" s="190">
        <v>0</v>
      </c>
      <c r="AF29" s="190">
        <v>615000</v>
      </c>
      <c r="AG29" s="190">
        <v>900000</v>
      </c>
      <c r="AH29" s="190">
        <v>1185000</v>
      </c>
      <c r="AI29" s="190">
        <v>1470000</v>
      </c>
      <c r="AJ29" s="190">
        <v>1755000</v>
      </c>
      <c r="AK29" s="190"/>
      <c r="AL29" s="190">
        <v>0</v>
      </c>
      <c r="AM29" s="190">
        <v>850000</v>
      </c>
      <c r="AN29" s="190">
        <v>1370000</v>
      </c>
      <c r="AO29" s="190">
        <v>1890000</v>
      </c>
      <c r="AP29" s="190">
        <v>2410000</v>
      </c>
      <c r="AQ29" s="190">
        <v>2930000</v>
      </c>
      <c r="AR29" s="190"/>
    </row>
    <row r="30" spans="1:44" ht="14.25">
      <c r="A30" s="103">
        <v>3</v>
      </c>
      <c r="B30" s="105">
        <v>2021</v>
      </c>
      <c r="C30" s="190">
        <v>430000</v>
      </c>
      <c r="D30" s="190">
        <v>430000</v>
      </c>
      <c r="E30" s="190">
        <v>430000</v>
      </c>
      <c r="F30" s="190">
        <v>430000</v>
      </c>
      <c r="G30" s="190">
        <v>430000</v>
      </c>
      <c r="H30" s="190">
        <v>430000</v>
      </c>
      <c r="I30" s="190">
        <v>430000</v>
      </c>
      <c r="J30" s="190">
        <v>715000</v>
      </c>
      <c r="K30" s="190">
        <v>1000000</v>
      </c>
      <c r="L30" s="190">
        <v>1285000</v>
      </c>
      <c r="M30" s="190">
        <v>1570000</v>
      </c>
      <c r="N30" s="190">
        <v>1855000</v>
      </c>
      <c r="O30" s="190">
        <v>2140000</v>
      </c>
      <c r="P30" s="190"/>
      <c r="Q30" s="190">
        <v>950000</v>
      </c>
      <c r="R30" s="190">
        <v>1470000</v>
      </c>
      <c r="S30" s="190">
        <v>1990000</v>
      </c>
      <c r="T30" s="190">
        <v>2510000</v>
      </c>
      <c r="U30" s="190">
        <v>3030000</v>
      </c>
      <c r="V30" s="190">
        <v>3550000</v>
      </c>
      <c r="W30" s="190"/>
      <c r="X30" s="190">
        <v>430000</v>
      </c>
      <c r="Y30" s="190">
        <v>430000</v>
      </c>
      <c r="Z30" s="190">
        <v>430000</v>
      </c>
      <c r="AA30" s="190">
        <v>430000</v>
      </c>
      <c r="AB30" s="190">
        <v>430000</v>
      </c>
      <c r="AC30" s="190">
        <v>430000</v>
      </c>
      <c r="AD30" s="190"/>
      <c r="AE30" s="190">
        <v>0</v>
      </c>
      <c r="AF30" s="190">
        <v>715000</v>
      </c>
      <c r="AG30" s="190">
        <v>1000000</v>
      </c>
      <c r="AH30" s="190">
        <v>1285000</v>
      </c>
      <c r="AI30" s="190">
        <v>1570000</v>
      </c>
      <c r="AJ30" s="190">
        <v>1855000</v>
      </c>
      <c r="AK30" s="190"/>
      <c r="AL30" s="190">
        <v>0</v>
      </c>
      <c r="AM30" s="190">
        <v>950000</v>
      </c>
      <c r="AN30" s="190">
        <v>1470000</v>
      </c>
      <c r="AO30" s="190">
        <v>1990000</v>
      </c>
      <c r="AP30" s="190">
        <v>2510000</v>
      </c>
      <c r="AQ30" s="190">
        <v>3030000</v>
      </c>
      <c r="AR30" s="190"/>
    </row>
    <row r="31" spans="1:44" ht="14.25">
      <c r="A31" s="103">
        <v>4</v>
      </c>
      <c r="B31" s="105">
        <v>2022</v>
      </c>
      <c r="C31" s="190">
        <v>430000</v>
      </c>
      <c r="D31" s="190">
        <v>430000</v>
      </c>
      <c r="E31" s="190">
        <v>430000</v>
      </c>
      <c r="F31" s="190">
        <v>430000</v>
      </c>
      <c r="G31" s="190">
        <v>430000</v>
      </c>
      <c r="H31" s="190">
        <v>430000</v>
      </c>
      <c r="I31" s="190">
        <v>430000</v>
      </c>
      <c r="J31" s="190">
        <v>715000</v>
      </c>
      <c r="K31" s="190">
        <v>1000000</v>
      </c>
      <c r="L31" s="190">
        <v>1285000</v>
      </c>
      <c r="M31" s="190">
        <v>1570000</v>
      </c>
      <c r="N31" s="190">
        <v>1855000</v>
      </c>
      <c r="O31" s="190">
        <v>2140000</v>
      </c>
      <c r="P31" s="190">
        <v>2425000</v>
      </c>
      <c r="Q31" s="190">
        <v>950000</v>
      </c>
      <c r="R31" s="190">
        <v>1470000</v>
      </c>
      <c r="S31" s="190">
        <v>1990000</v>
      </c>
      <c r="T31" s="190">
        <v>2510000</v>
      </c>
      <c r="U31" s="190">
        <v>3030000</v>
      </c>
      <c r="V31" s="190">
        <v>3550000</v>
      </c>
      <c r="W31" s="190">
        <v>4070000</v>
      </c>
      <c r="X31" s="190">
        <v>430000</v>
      </c>
      <c r="Y31" s="190">
        <v>430000</v>
      </c>
      <c r="Z31" s="190">
        <v>430000</v>
      </c>
      <c r="AA31" s="190">
        <v>430000</v>
      </c>
      <c r="AB31" s="190">
        <v>430000</v>
      </c>
      <c r="AC31" s="190">
        <v>430000</v>
      </c>
      <c r="AD31" s="190">
        <v>430000</v>
      </c>
      <c r="AE31" s="190">
        <v>0</v>
      </c>
      <c r="AF31" s="190">
        <v>715000</v>
      </c>
      <c r="AG31" s="190">
        <v>1000000</v>
      </c>
      <c r="AH31" s="190">
        <v>1285000</v>
      </c>
      <c r="AI31" s="190">
        <v>1570000</v>
      </c>
      <c r="AJ31" s="190">
        <v>1855000</v>
      </c>
      <c r="AK31" s="190">
        <v>2140000</v>
      </c>
      <c r="AL31" s="190">
        <v>0</v>
      </c>
      <c r="AM31" s="190">
        <v>950000</v>
      </c>
      <c r="AN31" s="190">
        <v>1470000</v>
      </c>
      <c r="AO31" s="190">
        <v>1990000</v>
      </c>
      <c r="AP31" s="190">
        <v>2510000</v>
      </c>
      <c r="AQ31" s="190">
        <v>3030000</v>
      </c>
      <c r="AR31" s="190">
        <v>3550000</v>
      </c>
    </row>
    <row r="32" spans="1:44" ht="14.25">
      <c r="A32" s="103">
        <v>5</v>
      </c>
      <c r="B32" s="105">
        <v>2023</v>
      </c>
      <c r="C32" s="190">
        <v>430000</v>
      </c>
      <c r="D32" s="190">
        <v>430000</v>
      </c>
      <c r="E32" s="190">
        <v>430000</v>
      </c>
      <c r="F32" s="190">
        <v>430000</v>
      </c>
      <c r="G32" s="190">
        <v>430000</v>
      </c>
      <c r="H32" s="190">
        <v>430000</v>
      </c>
      <c r="I32" s="190">
        <v>430000</v>
      </c>
      <c r="J32" s="208">
        <v>720000</v>
      </c>
      <c r="K32" s="208">
        <f t="shared" ref="K32:P32" si="1">J32+290000</f>
        <v>1010000</v>
      </c>
      <c r="L32" s="208">
        <f t="shared" si="1"/>
        <v>1300000</v>
      </c>
      <c r="M32" s="208">
        <f t="shared" si="1"/>
        <v>1590000</v>
      </c>
      <c r="N32" s="208">
        <f t="shared" si="1"/>
        <v>1880000</v>
      </c>
      <c r="O32" s="208">
        <f t="shared" si="1"/>
        <v>2170000</v>
      </c>
      <c r="P32" s="190">
        <f t="shared" si="1"/>
        <v>2460000</v>
      </c>
      <c r="Q32" s="208">
        <v>965000</v>
      </c>
      <c r="R32" s="208">
        <f t="shared" ref="R32:W32" si="2">Q32+535000</f>
        <v>1500000</v>
      </c>
      <c r="S32" s="208">
        <f t="shared" si="2"/>
        <v>2035000</v>
      </c>
      <c r="T32" s="208">
        <f t="shared" si="2"/>
        <v>2570000</v>
      </c>
      <c r="U32" s="208">
        <f t="shared" si="2"/>
        <v>3105000</v>
      </c>
      <c r="V32" s="208">
        <f t="shared" si="2"/>
        <v>3640000</v>
      </c>
      <c r="W32" s="190">
        <f t="shared" si="2"/>
        <v>4175000</v>
      </c>
      <c r="X32" s="190">
        <v>430000</v>
      </c>
      <c r="Y32" s="190">
        <v>430000</v>
      </c>
      <c r="Z32" s="190">
        <v>430000</v>
      </c>
      <c r="AA32" s="190">
        <v>430000</v>
      </c>
      <c r="AB32" s="190">
        <v>430000</v>
      </c>
      <c r="AC32" s="190">
        <v>430000</v>
      </c>
      <c r="AD32" s="190">
        <v>430000</v>
      </c>
      <c r="AE32" s="208">
        <v>0</v>
      </c>
      <c r="AF32" s="208">
        <v>720000</v>
      </c>
      <c r="AG32" s="208">
        <f>AF32+290000</f>
        <v>1010000</v>
      </c>
      <c r="AH32" s="208">
        <f>AG32+290000</f>
        <v>1300000</v>
      </c>
      <c r="AI32" s="208">
        <f>AH32+290000</f>
        <v>1590000</v>
      </c>
      <c r="AJ32" s="208">
        <f>AI32+290000</f>
        <v>1880000</v>
      </c>
      <c r="AK32" s="190">
        <f>AJ32+290000</f>
        <v>2170000</v>
      </c>
      <c r="AL32" s="208">
        <v>0</v>
      </c>
      <c r="AM32" s="208">
        <v>965000</v>
      </c>
      <c r="AN32" s="208">
        <f>AM32+535000</f>
        <v>1500000</v>
      </c>
      <c r="AO32" s="208">
        <f>AN32+535000</f>
        <v>2035000</v>
      </c>
      <c r="AP32" s="208">
        <f>AO32+535000</f>
        <v>2570000</v>
      </c>
      <c r="AQ32" s="208">
        <f>AP32+535000</f>
        <v>3105000</v>
      </c>
      <c r="AR32" s="190">
        <f>AQ32+535000</f>
        <v>3640000</v>
      </c>
    </row>
    <row r="33" spans="1:44" ht="14.25">
      <c r="A33" s="103">
        <v>6</v>
      </c>
      <c r="B33" s="105">
        <v>2024</v>
      </c>
      <c r="C33" s="190">
        <v>430000</v>
      </c>
      <c r="D33" s="190">
        <v>430000</v>
      </c>
      <c r="E33" s="190">
        <v>430000</v>
      </c>
      <c r="F33" s="190">
        <v>430000</v>
      </c>
      <c r="G33" s="190">
        <v>430000</v>
      </c>
      <c r="H33" s="190">
        <v>430000</v>
      </c>
      <c r="I33" s="190">
        <v>430000</v>
      </c>
      <c r="J33" s="190">
        <v>725000</v>
      </c>
      <c r="K33" s="190">
        <v>1020000</v>
      </c>
      <c r="L33" s="190">
        <v>1315000</v>
      </c>
      <c r="M33" s="190">
        <v>1610000</v>
      </c>
      <c r="N33" s="190">
        <v>1905000</v>
      </c>
      <c r="O33" s="190">
        <v>2200000</v>
      </c>
      <c r="P33" s="190">
        <f>O33+295000</f>
        <v>2495000</v>
      </c>
      <c r="Q33" s="190">
        <v>975000</v>
      </c>
      <c r="R33" s="190">
        <v>1520000</v>
      </c>
      <c r="S33" s="190">
        <v>2065000</v>
      </c>
      <c r="T33" s="190">
        <v>2610000</v>
      </c>
      <c r="U33" s="190">
        <v>3155000</v>
      </c>
      <c r="V33" s="190">
        <v>3700000</v>
      </c>
      <c r="W33" s="190">
        <f>V33+545000</f>
        <v>4245000</v>
      </c>
      <c r="X33" s="190">
        <v>430000</v>
      </c>
      <c r="Y33" s="190">
        <v>430000</v>
      </c>
      <c r="Z33" s="190">
        <v>430000</v>
      </c>
      <c r="AA33" s="190">
        <v>430000</v>
      </c>
      <c r="AB33" s="190">
        <v>430000</v>
      </c>
      <c r="AC33" s="190">
        <v>430000</v>
      </c>
      <c r="AD33" s="190">
        <v>430000</v>
      </c>
      <c r="AE33" s="190">
        <v>0</v>
      </c>
      <c r="AF33" s="190">
        <v>725000</v>
      </c>
      <c r="AG33" s="190">
        <v>1020000</v>
      </c>
      <c r="AH33" s="190">
        <v>1315000</v>
      </c>
      <c r="AI33" s="190">
        <v>1610000</v>
      </c>
      <c r="AJ33" s="190">
        <v>1905000</v>
      </c>
      <c r="AK33" s="190">
        <v>2200000</v>
      </c>
      <c r="AL33" s="190">
        <v>0</v>
      </c>
      <c r="AM33" s="190">
        <v>975000</v>
      </c>
      <c r="AN33" s="190">
        <v>1520000</v>
      </c>
      <c r="AO33" s="190">
        <v>2065000</v>
      </c>
      <c r="AP33" s="190">
        <v>2610000</v>
      </c>
      <c r="AQ33" s="190">
        <v>3155000</v>
      </c>
      <c r="AR33" s="190">
        <v>3700000</v>
      </c>
    </row>
    <row r="34" spans="1:44" ht="14.25">
      <c r="A34" s="103">
        <v>7</v>
      </c>
      <c r="B34" s="105">
        <v>2025</v>
      </c>
      <c r="C34" s="190">
        <v>430000</v>
      </c>
      <c r="D34" s="190">
        <v>430000</v>
      </c>
      <c r="E34" s="190">
        <v>430000</v>
      </c>
      <c r="F34" s="190">
        <v>430000</v>
      </c>
      <c r="G34" s="190">
        <v>430000</v>
      </c>
      <c r="H34" s="190">
        <v>430000</v>
      </c>
      <c r="I34" s="190">
        <v>430000</v>
      </c>
      <c r="J34" s="190">
        <v>735000</v>
      </c>
      <c r="K34" s="190">
        <v>1040000</v>
      </c>
      <c r="L34" s="190">
        <v>1345000</v>
      </c>
      <c r="M34" s="190">
        <v>1650000</v>
      </c>
      <c r="N34" s="190">
        <v>1955000</v>
      </c>
      <c r="O34" s="190">
        <v>2260000</v>
      </c>
      <c r="P34" s="190">
        <f>O34+305000</f>
        <v>2565000</v>
      </c>
      <c r="Q34" s="190">
        <v>990000</v>
      </c>
      <c r="R34" s="190">
        <v>1550000</v>
      </c>
      <c r="S34" s="190">
        <v>2110000</v>
      </c>
      <c r="T34" s="190">
        <v>2670000</v>
      </c>
      <c r="U34" s="190">
        <v>3230000</v>
      </c>
      <c r="V34" s="190">
        <v>3790000</v>
      </c>
      <c r="W34" s="190">
        <f>V34+560000</f>
        <v>4350000</v>
      </c>
      <c r="X34" s="190">
        <v>430000</v>
      </c>
      <c r="Y34" s="190">
        <v>430000</v>
      </c>
      <c r="Z34" s="190">
        <v>430000</v>
      </c>
      <c r="AA34" s="190">
        <v>430000</v>
      </c>
      <c r="AB34" s="190">
        <v>430000</v>
      </c>
      <c r="AC34" s="190">
        <v>430000</v>
      </c>
      <c r="AD34" s="190">
        <v>430000</v>
      </c>
      <c r="AE34" s="190">
        <v>0</v>
      </c>
      <c r="AF34" s="190">
        <v>735000</v>
      </c>
      <c r="AG34" s="190">
        <v>1040000</v>
      </c>
      <c r="AH34" s="190">
        <v>1345000</v>
      </c>
      <c r="AI34" s="190">
        <v>1650000</v>
      </c>
      <c r="AJ34" s="190">
        <v>1955000</v>
      </c>
      <c r="AK34" s="190">
        <v>2260000</v>
      </c>
      <c r="AL34" s="190">
        <v>0</v>
      </c>
      <c r="AM34" s="190">
        <v>990000</v>
      </c>
      <c r="AN34" s="190">
        <v>1550000</v>
      </c>
      <c r="AO34" s="190">
        <v>2110000</v>
      </c>
      <c r="AP34" s="190">
        <v>2670000</v>
      </c>
      <c r="AQ34" s="190">
        <v>3230000</v>
      </c>
      <c r="AR34" s="190">
        <v>3790000</v>
      </c>
    </row>
    <row r="35" spans="1:44" ht="14.25">
      <c r="A35" s="103">
        <v>8</v>
      </c>
      <c r="B35" s="105">
        <v>2026</v>
      </c>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row>
    <row r="36" spans="1:44" ht="14.25">
      <c r="A36" s="103">
        <v>9</v>
      </c>
      <c r="B36" s="105">
        <v>2027</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row>
    <row r="37" spans="1:44" ht="14.25">
      <c r="A37" s="103">
        <v>10</v>
      </c>
      <c r="B37" s="105">
        <v>2028</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row>
    <row r="38" spans="1:44" ht="14.25">
      <c r="A38" s="103">
        <v>11</v>
      </c>
      <c r="B38" s="105">
        <v>2029</v>
      </c>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row>
    <row r="39" spans="1:44" ht="14.25">
      <c r="A39" s="103">
        <v>12</v>
      </c>
      <c r="B39" s="105">
        <v>2030</v>
      </c>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row>
  </sheetData>
  <mergeCells count="12">
    <mergeCell ref="J5:K5"/>
    <mergeCell ref="L5:N5"/>
    <mergeCell ref="O5:Q5"/>
    <mergeCell ref="I17:J17"/>
    <mergeCell ref="C20:W20"/>
    <mergeCell ref="X20:AR20"/>
    <mergeCell ref="C21:I21"/>
    <mergeCell ref="J21:P21"/>
    <mergeCell ref="Q21:W21"/>
    <mergeCell ref="X21:AD21"/>
    <mergeCell ref="AE21:AK21"/>
    <mergeCell ref="AL21:AR21"/>
  </mergeCells>
  <phoneticPr fontId="2"/>
  <pageMargins left="0.7" right="0.7" top="0.75" bottom="0.75" header="0.3" footer="0.3"/>
  <pageSetup paperSize="9" scale="37"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2:Y34"/>
  <sheetViews>
    <sheetView topLeftCell="K1" zoomScale="80" zoomScaleNormal="80" workbookViewId="0">
      <selection activeCell="B2" sqref="B2"/>
    </sheetView>
  </sheetViews>
  <sheetFormatPr defaultRowHeight="13.5"/>
  <cols>
    <col min="1" max="2" width="9" style="96" customWidth="1"/>
    <col min="3" max="3" width="12" style="96" customWidth="1"/>
    <col min="4" max="7" width="11.125" style="96" customWidth="1"/>
    <col min="8" max="8" width="10.75" style="96" customWidth="1"/>
    <col min="9" max="9" width="10.125" style="96" customWidth="1"/>
    <col min="10" max="10" width="10.25" style="96" customWidth="1"/>
    <col min="11" max="11" width="9.625" style="96" customWidth="1"/>
    <col min="12" max="14" width="10.5" style="96" customWidth="1"/>
    <col min="15" max="17" width="13.125" style="96" customWidth="1"/>
    <col min="18" max="18" width="11.5" style="96" customWidth="1"/>
    <col min="19" max="19" width="12.375" style="96" customWidth="1"/>
    <col min="20" max="20" width="11.75" style="96" customWidth="1"/>
    <col min="21" max="21" width="11.25" style="96" customWidth="1"/>
    <col min="22" max="22" width="11.125" style="96" customWidth="1"/>
    <col min="23" max="23" width="12.375" style="96" customWidth="1"/>
    <col min="24" max="24" width="14.5" style="96" customWidth="1"/>
    <col min="25" max="16384" width="9" style="96" customWidth="1"/>
  </cols>
  <sheetData>
    <row r="2" spans="1:25">
      <c r="A2" s="97"/>
      <c r="B2" s="100"/>
      <c r="C2" s="100"/>
      <c r="D2" s="100"/>
      <c r="E2" s="100" t="s">
        <v>120</v>
      </c>
      <c r="F2" s="100"/>
      <c r="G2" s="100"/>
      <c r="H2" s="100" t="s">
        <v>121</v>
      </c>
      <c r="I2" s="100"/>
      <c r="J2" s="100"/>
      <c r="K2" s="100"/>
      <c r="L2" s="100"/>
      <c r="M2" s="100"/>
      <c r="N2" s="100"/>
      <c r="O2" s="100"/>
      <c r="P2" s="100"/>
      <c r="Q2" s="100"/>
      <c r="R2" s="100"/>
      <c r="S2" s="100"/>
      <c r="T2" s="100"/>
      <c r="U2" s="100"/>
      <c r="V2" s="100"/>
      <c r="W2" s="100"/>
      <c r="X2" s="100"/>
      <c r="Y2" s="145"/>
    </row>
    <row r="3" spans="1:25" ht="14.25">
      <c r="A3" s="99"/>
      <c r="B3" s="101"/>
      <c r="C3" s="101"/>
      <c r="H3" s="167" t="s">
        <v>122</v>
      </c>
      <c r="R3" s="101"/>
      <c r="S3" s="101"/>
      <c r="T3" s="101"/>
      <c r="U3" s="101"/>
      <c r="V3" s="101"/>
      <c r="W3" s="101"/>
      <c r="X3" s="101"/>
      <c r="Y3" s="147"/>
    </row>
    <row r="4" spans="1:25" ht="14.25">
      <c r="D4" s="217" t="s">
        <v>92</v>
      </c>
      <c r="E4" s="225"/>
      <c r="F4" s="225"/>
      <c r="G4" s="225"/>
      <c r="H4" s="225"/>
      <c r="I4" s="225"/>
      <c r="J4" s="225"/>
      <c r="K4" s="225"/>
      <c r="L4" s="225"/>
      <c r="M4" s="225"/>
      <c r="N4" s="225"/>
      <c r="O4" s="261"/>
      <c r="P4" s="225"/>
      <c r="Q4" s="269"/>
    </row>
    <row r="5" spans="1:25" ht="14.25">
      <c r="A5" s="215" t="s">
        <v>123</v>
      </c>
      <c r="B5" s="215">
        <v>7</v>
      </c>
      <c r="D5" s="218" t="s">
        <v>2</v>
      </c>
      <c r="E5" s="162"/>
      <c r="F5" s="162" t="s">
        <v>33</v>
      </c>
      <c r="G5" s="162"/>
      <c r="H5" s="162" t="s">
        <v>37</v>
      </c>
      <c r="I5" s="162"/>
      <c r="J5" s="162" t="s">
        <v>38</v>
      </c>
      <c r="K5" s="162"/>
      <c r="L5" s="162" t="s">
        <v>41</v>
      </c>
      <c r="M5" s="162"/>
      <c r="N5" s="162" t="s">
        <v>43</v>
      </c>
      <c r="O5" s="162"/>
      <c r="P5" s="162" t="s">
        <v>228</v>
      </c>
      <c r="Q5" s="270"/>
      <c r="T5" s="96" t="s">
        <v>124</v>
      </c>
    </row>
    <row r="6" spans="1:25">
      <c r="D6" s="219">
        <f>'①給与所得'!F8</f>
        <v>0</v>
      </c>
      <c r="E6" s="223">
        <f>'②公的年金所得'!D15</f>
        <v>0</v>
      </c>
      <c r="F6" s="229">
        <f>'①給与所得'!F9</f>
        <v>0</v>
      </c>
      <c r="G6" s="223">
        <f>'②公的年金所得'!E15</f>
        <v>0</v>
      </c>
      <c r="H6" s="229">
        <f>'①給与所得'!F10</f>
        <v>0</v>
      </c>
      <c r="I6" s="223">
        <f>'②公的年金所得'!F15</f>
        <v>0</v>
      </c>
      <c r="J6" s="229">
        <f>'①給与所得'!F11</f>
        <v>0</v>
      </c>
      <c r="K6" s="223">
        <f>'②公的年金所得'!G15</f>
        <v>0</v>
      </c>
      <c r="L6" s="229">
        <f>'①給与所得'!F12</f>
        <v>0</v>
      </c>
      <c r="M6" s="223">
        <f>'②公的年金所得'!H15</f>
        <v>0</v>
      </c>
      <c r="N6" s="229">
        <f>'①給与所得'!F13</f>
        <v>0</v>
      </c>
      <c r="O6" s="223">
        <f>'②公的年金所得'!I15</f>
        <v>0</v>
      </c>
      <c r="P6" s="229">
        <f>'①給与所得'!F14</f>
        <v>0</v>
      </c>
      <c r="Q6" s="271">
        <f>'②公的年金所得'!J15</f>
        <v>0</v>
      </c>
    </row>
    <row r="7" spans="1:25" ht="14.25">
      <c r="D7" s="220">
        <f>D6+E6</f>
        <v>0</v>
      </c>
      <c r="E7" s="226"/>
      <c r="F7" s="226">
        <f>F6+G6</f>
        <v>0</v>
      </c>
      <c r="G7" s="226"/>
      <c r="H7" s="226">
        <f>H6+I6</f>
        <v>0</v>
      </c>
      <c r="I7" s="226"/>
      <c r="J7" s="226">
        <f>J6+K6</f>
        <v>0</v>
      </c>
      <c r="K7" s="226"/>
      <c r="L7" s="226">
        <f>L6+M6</f>
        <v>0</v>
      </c>
      <c r="M7" s="226"/>
      <c r="N7" s="226">
        <f>N6+O6</f>
        <v>0</v>
      </c>
      <c r="O7" s="226"/>
      <c r="P7" s="226">
        <f>P6+Q6</f>
        <v>0</v>
      </c>
      <c r="Q7" s="272"/>
      <c r="T7" s="274" t="s">
        <v>93</v>
      </c>
      <c r="U7" s="281" t="s">
        <v>125</v>
      </c>
      <c r="V7" s="281" t="s">
        <v>126</v>
      </c>
      <c r="W7" s="294" t="s">
        <v>127</v>
      </c>
    </row>
    <row r="8" spans="1:25" ht="14.25">
      <c r="T8" s="275">
        <f>B5</f>
        <v>7</v>
      </c>
      <c r="U8" s="282">
        <f>VLOOKUP(T8,T11:W20,2,0)</f>
        <v>8.4699999999999998e-002</v>
      </c>
      <c r="V8" s="282">
        <f>VLOOKUP(T8,T11:W20,3,0)</f>
        <v>2.6200000000000001e-002</v>
      </c>
      <c r="W8" s="295">
        <f>VLOOKUP(T8,T11:W20,4,0)</f>
        <v>2.2100000000000002e-002</v>
      </c>
    </row>
    <row r="9" spans="1:25" ht="14.25">
      <c r="B9" s="216" t="s">
        <v>128</v>
      </c>
      <c r="D9" s="221" t="s">
        <v>129</v>
      </c>
      <c r="E9" s="227"/>
      <c r="F9" s="218" t="s">
        <v>130</v>
      </c>
      <c r="G9" s="231"/>
      <c r="H9" s="234" t="s">
        <v>125</v>
      </c>
      <c r="I9" s="239"/>
      <c r="J9" s="234" t="s">
        <v>126</v>
      </c>
      <c r="K9" s="246"/>
      <c r="L9" s="234" t="s">
        <v>127</v>
      </c>
      <c r="M9" s="251"/>
      <c r="N9" s="256" t="s">
        <v>131</v>
      </c>
      <c r="O9" s="262"/>
      <c r="P9" s="135"/>
      <c r="Q9" s="135"/>
      <c r="T9" s="134" t="s">
        <v>91</v>
      </c>
    </row>
    <row r="10" spans="1:25" ht="14.25">
      <c r="B10" s="103">
        <f>COUNTIF(Sheet1!G14,"加入する")+COUNTIF(Sheet1!G14,"")</f>
        <v>1</v>
      </c>
      <c r="C10" s="96" t="s">
        <v>2</v>
      </c>
      <c r="D10" s="222">
        <f>D7+Sheet1!E14</f>
        <v>0</v>
      </c>
      <c r="E10" s="228"/>
      <c r="F10" s="230">
        <f t="shared" ref="F10:F16" si="0">ROUNDDOWN(IF(D10-430000&gt;0,D10-430000,0),-3)</f>
        <v>0</v>
      </c>
      <c r="G10" s="232"/>
      <c r="H10" s="235">
        <f>IF(B10=1,ROUNDDOWN(F10*U8,0),0)</f>
        <v>0</v>
      </c>
      <c r="I10" s="240"/>
      <c r="J10" s="235">
        <f>IF(B10=1,ROUNDDOWN(F10*V8,0),0)</f>
        <v>0</v>
      </c>
      <c r="K10" s="247"/>
      <c r="L10" s="235">
        <f>IF(B10=1,ROUNDDOWN(F10*W8*C24/12,0),0)</f>
        <v>0</v>
      </c>
      <c r="M10" s="252"/>
      <c r="N10" s="257">
        <f t="shared" ref="N10:N16" si="1">SUM(H10:L10)</f>
        <v>0</v>
      </c>
      <c r="O10" s="263"/>
      <c r="P10" s="267"/>
      <c r="Q10" s="267"/>
      <c r="T10" s="276" t="s">
        <v>132</v>
      </c>
      <c r="U10" s="283" t="s">
        <v>125</v>
      </c>
      <c r="V10" s="289" t="s">
        <v>126</v>
      </c>
      <c r="W10" s="296" t="s">
        <v>127</v>
      </c>
    </row>
    <row r="11" spans="1:25">
      <c r="C11" s="96" t="s">
        <v>33</v>
      </c>
      <c r="D11" s="222">
        <f>F7+Sheet1!E15</f>
        <v>0</v>
      </c>
      <c r="E11" s="228"/>
      <c r="F11" s="230">
        <f t="shared" si="0"/>
        <v>0</v>
      </c>
      <c r="G11" s="232"/>
      <c r="H11" s="235">
        <f>ROUNDDOWN(F11*U8,0)</f>
        <v>0</v>
      </c>
      <c r="I11" s="240"/>
      <c r="J11" s="235">
        <f>ROUNDDOWN(F11*V8,0)</f>
        <v>0</v>
      </c>
      <c r="K11" s="247"/>
      <c r="L11" s="235">
        <f>ROUNDDOWN(F11*W8*C25/12,0)</f>
        <v>0</v>
      </c>
      <c r="M11" s="252"/>
      <c r="N11" s="257">
        <f t="shared" si="1"/>
        <v>0</v>
      </c>
      <c r="O11" s="263"/>
      <c r="P11" s="267"/>
      <c r="Q11" s="267"/>
      <c r="S11" s="273" t="s">
        <v>133</v>
      </c>
      <c r="T11" s="131">
        <v>31</v>
      </c>
      <c r="U11" s="284">
        <v>7.9600000000000004e-002</v>
      </c>
      <c r="V11" s="103">
        <v>2.58e-002</v>
      </c>
      <c r="W11" s="151">
        <v>2.2100000000000002e-002</v>
      </c>
    </row>
    <row r="12" spans="1:25">
      <c r="C12" s="96" t="s">
        <v>37</v>
      </c>
      <c r="D12" s="222">
        <f>H7+Sheet1!E16</f>
        <v>0</v>
      </c>
      <c r="E12" s="228"/>
      <c r="F12" s="230">
        <f t="shared" si="0"/>
        <v>0</v>
      </c>
      <c r="G12" s="232"/>
      <c r="H12" s="235">
        <f>ROUNDDOWN(F12*U8,0)</f>
        <v>0</v>
      </c>
      <c r="I12" s="240"/>
      <c r="J12" s="235">
        <f>ROUNDDOWN(F12*V8,0)</f>
        <v>0</v>
      </c>
      <c r="K12" s="247"/>
      <c r="L12" s="235">
        <f>ROUNDDOWN(F12*W8*C26/12,0)</f>
        <v>0</v>
      </c>
      <c r="M12" s="252"/>
      <c r="N12" s="257">
        <f t="shared" si="1"/>
        <v>0</v>
      </c>
      <c r="O12" s="263"/>
      <c r="P12" s="267"/>
      <c r="Q12" s="267"/>
      <c r="S12" s="273" t="s">
        <v>136</v>
      </c>
      <c r="T12" s="131">
        <v>2</v>
      </c>
      <c r="U12" s="284">
        <v>8.3900000000000002e-002</v>
      </c>
      <c r="V12" s="103">
        <v>2.7400000000000001e-002</v>
      </c>
      <c r="W12" s="151">
        <v>2.2200000000000001e-002</v>
      </c>
    </row>
    <row r="13" spans="1:25">
      <c r="C13" s="96" t="s">
        <v>38</v>
      </c>
      <c r="D13" s="222">
        <f>J7+Sheet1!E17</f>
        <v>0</v>
      </c>
      <c r="E13" s="228"/>
      <c r="F13" s="230">
        <f t="shared" si="0"/>
        <v>0</v>
      </c>
      <c r="G13" s="232"/>
      <c r="H13" s="235">
        <f>ROUNDDOWN(F13*U8,0)</f>
        <v>0</v>
      </c>
      <c r="I13" s="240"/>
      <c r="J13" s="235">
        <f>ROUNDDOWN(F13*V8,0)</f>
        <v>0</v>
      </c>
      <c r="K13" s="247"/>
      <c r="L13" s="235">
        <f>ROUNDDOWN(F13*W8*C27/12,0)</f>
        <v>0</v>
      </c>
      <c r="M13" s="252"/>
      <c r="N13" s="257">
        <f t="shared" si="1"/>
        <v>0</v>
      </c>
      <c r="O13" s="263"/>
      <c r="P13" s="267"/>
      <c r="Q13" s="267"/>
      <c r="S13" s="273" t="s">
        <v>103</v>
      </c>
      <c r="T13" s="131">
        <v>3</v>
      </c>
      <c r="U13" s="284">
        <v>8.3699999999999997e-002</v>
      </c>
      <c r="V13" s="103">
        <v>2.7300000000000001e-002</v>
      </c>
      <c r="W13" s="151">
        <v>2.2100000000000002e-002</v>
      </c>
    </row>
    <row r="14" spans="1:25">
      <c r="C14" s="96" t="s">
        <v>41</v>
      </c>
      <c r="D14" s="222">
        <f>L7+Sheet1!E18</f>
        <v>0</v>
      </c>
      <c r="E14" s="228"/>
      <c r="F14" s="230">
        <f t="shared" si="0"/>
        <v>0</v>
      </c>
      <c r="G14" s="232"/>
      <c r="H14" s="235">
        <f>ROUNDDOWN(F14*U8,0)</f>
        <v>0</v>
      </c>
      <c r="I14" s="240"/>
      <c r="J14" s="235">
        <f>ROUNDDOWN(F14*V8,0)</f>
        <v>0</v>
      </c>
      <c r="K14" s="247"/>
      <c r="L14" s="235">
        <f>ROUNDDOWN(F14*W8*C28/12,0)</f>
        <v>0</v>
      </c>
      <c r="M14" s="252"/>
      <c r="N14" s="257">
        <f t="shared" si="1"/>
        <v>0</v>
      </c>
      <c r="O14" s="263"/>
      <c r="P14" s="267"/>
      <c r="Q14" s="267"/>
      <c r="S14" s="273" t="s">
        <v>137</v>
      </c>
      <c r="T14" s="131">
        <v>4</v>
      </c>
      <c r="U14" s="284">
        <v>8.3299999999999999e-002</v>
      </c>
      <c r="V14" s="103">
        <v>2.6599999999999999e-002</v>
      </c>
      <c r="W14" s="151">
        <v>2.18e-002</v>
      </c>
    </row>
    <row r="15" spans="1:25">
      <c r="C15" s="96" t="s">
        <v>43</v>
      </c>
      <c r="D15" s="222">
        <f>N7+Sheet1!E19</f>
        <v>0</v>
      </c>
      <c r="E15" s="228"/>
      <c r="F15" s="230">
        <f t="shared" si="0"/>
        <v>0</v>
      </c>
      <c r="G15" s="232"/>
      <c r="H15" s="236">
        <f>ROUNDDOWN(F15*U8,0)</f>
        <v>0</v>
      </c>
      <c r="I15" s="241"/>
      <c r="J15" s="236">
        <f>ROUNDDOWN(F15*V8,0)</f>
        <v>0</v>
      </c>
      <c r="K15" s="248"/>
      <c r="L15" s="236">
        <f>ROUNDDOWN(F15*W8*C29/12,0)</f>
        <v>0</v>
      </c>
      <c r="M15" s="253"/>
      <c r="N15" s="258">
        <f t="shared" si="1"/>
        <v>0</v>
      </c>
      <c r="O15" s="264"/>
      <c r="P15" s="267"/>
      <c r="Q15" s="267"/>
      <c r="S15" s="273" t="s">
        <v>138</v>
      </c>
      <c r="T15" s="277">
        <v>5</v>
      </c>
      <c r="U15" s="285">
        <v>8.2199999999999995e-002</v>
      </c>
      <c r="V15" s="290">
        <v>2.76e-002</v>
      </c>
      <c r="W15" s="297">
        <v>2.2499999999999999e-002</v>
      </c>
    </row>
    <row r="16" spans="1:25" ht="14.25">
      <c r="C16" s="96" t="s">
        <v>228</v>
      </c>
      <c r="D16" s="222">
        <f>P7+Sheet1!E20</f>
        <v>0</v>
      </c>
      <c r="E16" s="228"/>
      <c r="F16" s="230">
        <f t="shared" si="0"/>
        <v>0</v>
      </c>
      <c r="G16" s="223"/>
      <c r="H16" s="237">
        <f>ROUNDDOWN(F16*U8,0)</f>
        <v>0</v>
      </c>
      <c r="I16" s="242"/>
      <c r="J16" s="244">
        <f>ROUNDDOWN(F16*V8,0)</f>
        <v>0</v>
      </c>
      <c r="K16" s="249"/>
      <c r="L16" s="244">
        <f>ROUNDDOWN(F16*W8*C30/12,0)</f>
        <v>0</v>
      </c>
      <c r="M16" s="254"/>
      <c r="N16" s="259">
        <f t="shared" si="1"/>
        <v>0</v>
      </c>
      <c r="O16" s="265"/>
      <c r="P16" s="267"/>
      <c r="Q16" s="267"/>
      <c r="S16" s="273" t="s">
        <v>140</v>
      </c>
      <c r="T16" s="278">
        <v>6</v>
      </c>
      <c r="U16" s="286">
        <v>8.2199999999999995e-002</v>
      </c>
      <c r="V16" s="291">
        <v>2.7900000000000001e-002</v>
      </c>
      <c r="W16" s="298">
        <v>2.29e-002</v>
      </c>
    </row>
    <row r="17" spans="2:23" ht="15">
      <c r="D17" s="223">
        <f>SUM(D10:D16)</f>
        <v>0</v>
      </c>
      <c r="E17" s="223"/>
      <c r="F17" s="162" t="s">
        <v>134</v>
      </c>
      <c r="G17" s="233"/>
      <c r="H17" s="238">
        <f>SUM(H10:H16)</f>
        <v>0</v>
      </c>
      <c r="I17" s="243"/>
      <c r="J17" s="245">
        <f>SUM(J10:J16)</f>
        <v>0</v>
      </c>
      <c r="K17" s="250"/>
      <c r="L17" s="245">
        <f>SUM(L10:L16)</f>
        <v>0</v>
      </c>
      <c r="M17" s="255"/>
      <c r="N17" s="260">
        <f>SUM(N10:N16)</f>
        <v>0</v>
      </c>
      <c r="O17" s="266"/>
      <c r="P17" s="268"/>
      <c r="Q17" s="268"/>
      <c r="T17" s="279">
        <v>7</v>
      </c>
      <c r="U17" s="287">
        <v>8.4699999999999998e-002</v>
      </c>
      <c r="V17" s="292">
        <v>2.6200000000000001e-002</v>
      </c>
      <c r="W17" s="299">
        <v>2.2100000000000002e-002</v>
      </c>
    </row>
    <row r="18" spans="2:23" ht="14.25">
      <c r="T18" s="279">
        <v>8</v>
      </c>
      <c r="U18" s="287"/>
      <c r="V18" s="292"/>
      <c r="W18" s="299"/>
    </row>
    <row r="19" spans="2:23">
      <c r="T19" s="279">
        <v>9</v>
      </c>
      <c r="U19" s="287"/>
      <c r="V19" s="292"/>
      <c r="W19" s="299"/>
    </row>
    <row r="20" spans="2:23" ht="14.25">
      <c r="T20" s="280">
        <v>10</v>
      </c>
      <c r="U20" s="288"/>
      <c r="V20" s="293"/>
      <c r="W20" s="300"/>
    </row>
    <row r="21" spans="2:23" ht="14.25">
      <c r="B21" s="149" t="s">
        <v>139</v>
      </c>
    </row>
    <row r="22" spans="2:23" ht="6.75" customHeight="1">
      <c r="S22" s="224"/>
    </row>
    <row r="23" spans="2:23">
      <c r="C23" s="178" t="s">
        <v>141</v>
      </c>
      <c r="D23" s="224"/>
      <c r="E23" s="224"/>
      <c r="F23" s="224"/>
      <c r="G23" s="224"/>
      <c r="H23" s="224"/>
      <c r="I23" s="224"/>
      <c r="J23" s="224"/>
      <c r="K23" s="224"/>
      <c r="L23" s="224"/>
      <c r="M23" s="224"/>
      <c r="N23" s="224"/>
      <c r="O23" s="224"/>
      <c r="P23" s="224"/>
      <c r="Q23" s="224"/>
      <c r="R23" s="224"/>
    </row>
    <row r="24" spans="2:23">
      <c r="B24" s="96" t="s">
        <v>2</v>
      </c>
      <c r="C24" s="96" t="b">
        <f>IF(AND(D24=1,E24=12),12,IF(AND(D24=0,E24=12),0))</f>
        <v>0</v>
      </c>
      <c r="D24" s="96">
        <f>IF(B10=0,0,1)</f>
        <v>1</v>
      </c>
      <c r="E24" s="96">
        <f>(COUNTIF(Sheet1!B14,"４０～６４歳"))*12</f>
        <v>0</v>
      </c>
    </row>
    <row r="25" spans="2:23">
      <c r="B25" s="96" t="s">
        <v>33</v>
      </c>
      <c r="C25" s="96">
        <f>(COUNTIF(Sheet1!B15,"４０～６４歳"))*12</f>
        <v>0</v>
      </c>
    </row>
    <row r="26" spans="2:23">
      <c r="B26" s="96" t="s">
        <v>37</v>
      </c>
      <c r="C26" s="96">
        <f>(COUNTIF(Sheet1!B16,"４０～６４歳"))*12</f>
        <v>0</v>
      </c>
    </row>
    <row r="27" spans="2:23">
      <c r="B27" s="96" t="s">
        <v>38</v>
      </c>
      <c r="C27" s="96">
        <f>(COUNTIF(Sheet1!B17,"４０～６４歳"))*12</f>
        <v>0</v>
      </c>
    </row>
    <row r="28" spans="2:23">
      <c r="B28" s="96" t="s">
        <v>41</v>
      </c>
      <c r="C28" s="96">
        <f>(COUNTIF(Sheet1!B18,"４０～６４歳"))*12</f>
        <v>0</v>
      </c>
    </row>
    <row r="29" spans="2:23">
      <c r="B29" s="96" t="s">
        <v>43</v>
      </c>
      <c r="C29" s="96">
        <f>(COUNTIF(Sheet1!B19,"４０～６４歳"))*12</f>
        <v>0</v>
      </c>
    </row>
    <row r="30" spans="2:23">
      <c r="B30" s="96" t="s">
        <v>228</v>
      </c>
      <c r="C30" s="96">
        <f>(COUNTIF(Sheet1!B20,"４０～６４歳"))*12</f>
        <v>0</v>
      </c>
    </row>
    <row r="31" spans="2:23">
      <c r="C31" s="96">
        <f>SUM(C24:C30)</f>
        <v>0</v>
      </c>
    </row>
    <row r="32" spans="2:23">
      <c r="B32" s="178" t="s">
        <v>135</v>
      </c>
      <c r="C32" s="96">
        <f>IF(C31&gt;12,12,C31)</f>
        <v>0</v>
      </c>
    </row>
    <row r="33" spans="2:2">
      <c r="B33" s="178"/>
    </row>
    <row r="34" spans="2:2">
      <c r="B34" s="178"/>
    </row>
  </sheetData>
  <mergeCells count="68">
    <mergeCell ref="D5:E5"/>
    <mergeCell ref="F5:G5"/>
    <mergeCell ref="H5:I5"/>
    <mergeCell ref="J5:K5"/>
    <mergeCell ref="L5:M5"/>
    <mergeCell ref="N5:O5"/>
    <mergeCell ref="P5:Q5"/>
    <mergeCell ref="D7:E7"/>
    <mergeCell ref="F7:G7"/>
    <mergeCell ref="H7:I7"/>
    <mergeCell ref="J7:K7"/>
    <mergeCell ref="L7:M7"/>
    <mergeCell ref="N7:O7"/>
    <mergeCell ref="P7:Q7"/>
    <mergeCell ref="D9:E9"/>
    <mergeCell ref="F9:G9"/>
    <mergeCell ref="H9:I9"/>
    <mergeCell ref="J9:K9"/>
    <mergeCell ref="L9:M9"/>
    <mergeCell ref="N9:O9"/>
    <mergeCell ref="D10:E10"/>
    <mergeCell ref="F10:G10"/>
    <mergeCell ref="H10:I10"/>
    <mergeCell ref="J10:K10"/>
    <mergeCell ref="L10:M10"/>
    <mergeCell ref="N10:O10"/>
    <mergeCell ref="D11:E11"/>
    <mergeCell ref="F11:G11"/>
    <mergeCell ref="H11:I11"/>
    <mergeCell ref="J11:K11"/>
    <mergeCell ref="L11:M11"/>
    <mergeCell ref="N11:O11"/>
    <mergeCell ref="D12:E12"/>
    <mergeCell ref="F12:G12"/>
    <mergeCell ref="H12:I12"/>
    <mergeCell ref="J12:K12"/>
    <mergeCell ref="L12:M12"/>
    <mergeCell ref="N12:O12"/>
    <mergeCell ref="D13:E13"/>
    <mergeCell ref="F13:G13"/>
    <mergeCell ref="H13:I13"/>
    <mergeCell ref="J13:K13"/>
    <mergeCell ref="L13:M13"/>
    <mergeCell ref="N13:O13"/>
    <mergeCell ref="D14:E14"/>
    <mergeCell ref="F14:G14"/>
    <mergeCell ref="H14:I14"/>
    <mergeCell ref="J14:K14"/>
    <mergeCell ref="L14:M14"/>
    <mergeCell ref="N14:O14"/>
    <mergeCell ref="D15:E15"/>
    <mergeCell ref="F15:G15"/>
    <mergeCell ref="H15:I15"/>
    <mergeCell ref="J15:K15"/>
    <mergeCell ref="L15:M15"/>
    <mergeCell ref="N15:O15"/>
    <mergeCell ref="D16:E16"/>
    <mergeCell ref="F16:G16"/>
    <mergeCell ref="H16:I16"/>
    <mergeCell ref="J16:K16"/>
    <mergeCell ref="L16:M16"/>
    <mergeCell ref="N16:O16"/>
    <mergeCell ref="D17:E17"/>
    <mergeCell ref="F17:G17"/>
    <mergeCell ref="H17:I17"/>
    <mergeCell ref="J17:K17"/>
    <mergeCell ref="L17:M17"/>
    <mergeCell ref="N17:O17"/>
  </mergeCells>
  <phoneticPr fontId="2"/>
  <pageMargins left="0.25" right="0.25" top="0.75" bottom="0.75" header="0.3" footer="0.3"/>
  <pageSetup paperSize="9" scale="79"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2:AW65"/>
  <sheetViews>
    <sheetView workbookViewId="0">
      <selection activeCell="B2" sqref="B2"/>
    </sheetView>
  </sheetViews>
  <sheetFormatPr defaultRowHeight="13.5"/>
  <cols>
    <col min="1" max="7" width="9" style="96" customWidth="1"/>
    <col min="8" max="8" width="10.375" style="96" customWidth="1"/>
    <col min="9" max="10" width="9" style="96" customWidth="1"/>
    <col min="11" max="11" width="11.5" style="96" customWidth="1"/>
    <col min="12" max="15" width="9" style="96" customWidth="1"/>
    <col min="16" max="16" width="9.75" style="96" customWidth="1"/>
    <col min="17" max="16384" width="9" style="96" customWidth="1"/>
  </cols>
  <sheetData>
    <row r="1" spans="2:32" ht="14.25"/>
    <row r="2" spans="2:32" ht="14.25">
      <c r="B2" s="97" t="s">
        <v>35</v>
      </c>
      <c r="C2" s="100"/>
      <c r="D2" s="100"/>
      <c r="E2" s="100"/>
      <c r="F2" s="195"/>
      <c r="G2" s="100" t="s">
        <v>22</v>
      </c>
      <c r="H2" s="100"/>
      <c r="I2" s="100"/>
      <c r="J2" s="100"/>
      <c r="K2" s="100"/>
      <c r="L2" s="100"/>
      <c r="M2" s="100"/>
      <c r="N2" s="100"/>
      <c r="O2" s="100"/>
      <c r="P2" s="98"/>
    </row>
    <row r="3" spans="2:32">
      <c r="B3" s="98"/>
      <c r="G3" s="167" t="s">
        <v>142</v>
      </c>
      <c r="P3" s="98"/>
    </row>
    <row r="4" spans="2:32">
      <c r="B4" s="99"/>
      <c r="C4" s="101"/>
      <c r="D4" s="101" t="s">
        <v>143</v>
      </c>
      <c r="E4" s="101"/>
      <c r="F4" s="101" t="s">
        <v>50</v>
      </c>
      <c r="G4" s="101"/>
      <c r="H4" s="101"/>
      <c r="I4" s="101"/>
      <c r="J4" s="101"/>
      <c r="K4" s="101"/>
      <c r="L4" s="101"/>
      <c r="M4" s="101"/>
      <c r="N4" s="101"/>
      <c r="O4" s="147"/>
    </row>
    <row r="6" spans="2:32" ht="14.25">
      <c r="G6" s="167" t="s">
        <v>145</v>
      </c>
    </row>
    <row r="7" spans="2:32" ht="14.25">
      <c r="B7" s="301" t="s">
        <v>57</v>
      </c>
      <c r="C7" s="215">
        <v>7</v>
      </c>
    </row>
    <row r="8" spans="2:32" ht="14.25">
      <c r="G8" s="316" t="s">
        <v>101</v>
      </c>
      <c r="H8" s="319" t="s">
        <v>16</v>
      </c>
      <c r="I8" s="319" t="s">
        <v>126</v>
      </c>
      <c r="J8" s="323" t="s">
        <v>127</v>
      </c>
      <c r="K8" s="324" t="s">
        <v>148</v>
      </c>
    </row>
    <row r="9" spans="2:32" ht="14.25">
      <c r="B9" s="302" t="s">
        <v>93</v>
      </c>
      <c r="C9" s="307">
        <f>C7</f>
        <v>7</v>
      </c>
      <c r="G9" s="316" t="e">
        <f>'③軽減判定'!K17</f>
        <v>#N/A</v>
      </c>
      <c r="H9" s="320">
        <f>IF($L$11&lt;1,0,VLOOKUP($G$9,$B$10:$E$15,2,FALSE))</f>
        <v>0</v>
      </c>
      <c r="I9" s="320">
        <f>IF($L$11&lt;1,0,VLOOKUP($G$9,$B$10:$E$15,3,FALSE))</f>
        <v>0</v>
      </c>
      <c r="J9" s="320">
        <f>IF($L$11&lt;1,0,INT(VLOOKUP($G$9,$B$10:$E$15,4,FALSE)/12*M13))</f>
        <v>0</v>
      </c>
      <c r="K9" s="325">
        <f>(SUM(H9:J9))</f>
        <v>0</v>
      </c>
    </row>
    <row r="10" spans="2:32">
      <c r="B10" s="303" t="s">
        <v>101</v>
      </c>
      <c r="C10" s="308" t="s">
        <v>16</v>
      </c>
      <c r="D10" s="308" t="s">
        <v>126</v>
      </c>
      <c r="E10" s="313" t="s">
        <v>127</v>
      </c>
      <c r="G10" s="148"/>
      <c r="H10" s="321"/>
    </row>
    <row r="11" spans="2:32">
      <c r="B11" s="304">
        <v>0</v>
      </c>
      <c r="C11" s="103">
        <f>IF($C$7&lt;30,VLOOKUP($C$7,$B$19:$Q$44,2,FALSE),IF($I$11=1,VLOOKUP($C$7,$S$23:$AG$41,2,FALSE),IF($I$13=1,VLOOKUP($C$7,$AI$23:$AW$41,2,FALSE),VLOOKUP($C$7,$B$19:$Q$44,2,FALSE))))</f>
        <v>28340</v>
      </c>
      <c r="D11" s="103">
        <f>IF($C$7&lt;30,VLOOKUP($C$7,$B$19:$Q$44,3,FALSE),IF($I$11=1,VLOOKUP($C$7,$S$23:$AG$41,3,FALSE),IF($I$13=1,VLOOKUP($C$7,$AI$23:$AW$41,3,FALSE),VLOOKUP($C$7,$B$19:$Q$44,3,FALSE))))</f>
        <v>8890</v>
      </c>
      <c r="E11" s="314">
        <f>IF($C$7&lt;30,VLOOKUP($C$7,$B$19:$Q$44,4,FALSE),IF($I$11=1,VLOOKUP($C$7,$S$23:$AG$41,4,FALSE),IF($I$13=1,VLOOKUP($C$7,$AI$23:$AW$41,4,FALSE),VLOOKUP($C$7,$B$19:$Q$44,4,FALSE))))</f>
        <v>6670</v>
      </c>
      <c r="G11" s="317"/>
      <c r="H11" s="317"/>
      <c r="I11" s="167"/>
      <c r="J11" s="148"/>
      <c r="K11" s="326" t="s">
        <v>149</v>
      </c>
      <c r="L11" s="103">
        <f>Sheet1!B22</f>
        <v>0</v>
      </c>
    </row>
    <row r="12" spans="2:32">
      <c r="B12" s="304">
        <v>7</v>
      </c>
      <c r="C12" s="103">
        <f>IF($C$7&lt;30,VLOOKUP($C$7,$B$19:$Q$44,5,FALSE),IF($I$11=1,VLOOKUP($C$7,$S$23:$AG$41,5,FALSE),IF($I$13=1,VLOOKUP($C$7,$AI$23:$AW$41,5,FALSE),VLOOKUP($C$7,$B$19:$Q$44,5,FALSE))))</f>
        <v>8500</v>
      </c>
      <c r="D12" s="103">
        <f>IF($C$7&lt;30,VLOOKUP($C$7,$B$19:$Q$44,6,FALSE),IF($I$11=1,VLOOKUP($C$7,$S$23:$AG$41,6,FALSE),IF($I$13=1,VLOOKUP($C$7,$AI$23:$AW$41,6,FALSE),VLOOKUP($C$7,$B$19:$Q$44,6,FALSE))))</f>
        <v>2660</v>
      </c>
      <c r="E12" s="314">
        <f>IF($C$7&lt;30,VLOOKUP($C$7,$B$19:$Q$44,7,FALSE),IF($I$11=1,VLOOKUP($C$7,$S$23:$AG$41,7,FALSE),IF($I$13=1,VLOOKUP($C$7,$AI$23:$AW$41,7,FALSE),VLOOKUP($C$7,$B$19:$Q$44,7,FALSE))))</f>
        <v>2000</v>
      </c>
      <c r="F12" s="224"/>
      <c r="G12" s="167"/>
      <c r="H12" s="113"/>
      <c r="I12" s="113"/>
      <c r="J12" s="113"/>
      <c r="K12" s="113"/>
      <c r="M12" s="327"/>
    </row>
    <row r="13" spans="2:32">
      <c r="B13" s="304">
        <v>5</v>
      </c>
      <c r="C13" s="103">
        <f>IF($C$7&lt;30,VLOOKUP($C$7,$B$19:$Q$44,8,FALSE),IF($I$11=1,VLOOKUP($C$7,$S$23:$AG$41,8,FALSE),IF($I$13=1,VLOOKUP($C$7,$AI$23:$AW$41,8,FALSE),VLOOKUP($C$7,$B$19:$Q$44,8,FALSE))))</f>
        <v>14170</v>
      </c>
      <c r="D13" s="103">
        <f>IF($C$7&lt;30,VLOOKUP($C$7,$B$19:$Q$44,9,FALSE),IF($I$11=1,VLOOKUP($C$7,$S$23:$AG$41,9,FALSE),IF($I$13=1,VLOOKUP($C$7,$AI$23:$AW$41,9,FALSE),VLOOKUP($C$7,$B$19:$Q$44,9,FALSE))))</f>
        <v>4440</v>
      </c>
      <c r="E13" s="314">
        <f>IF($C$7&lt;30,VLOOKUP($C$7,$B$19:$Q$44,10,FALSE),IF($I$11=1,VLOOKUP($C$7,$S$23:$AG$41,10,FALSE),IF($I$13=1,VLOOKUP($C$7,$AI$23:$AW$41,10,FALSE),VLOOKUP($C$7,$B$19:$Q$44,10,FALSE))))</f>
        <v>3330</v>
      </c>
      <c r="F13" s="224"/>
      <c r="G13" s="317"/>
      <c r="H13" s="317"/>
      <c r="I13" s="113"/>
      <c r="J13" s="113"/>
      <c r="K13" s="103" t="s">
        <v>150</v>
      </c>
      <c r="L13" s="103"/>
      <c r="M13" s="103">
        <f>'④所得割'!C32</f>
        <v>0</v>
      </c>
    </row>
    <row r="14" spans="2:32" ht="14.25">
      <c r="B14" s="305">
        <v>2</v>
      </c>
      <c r="C14" s="309">
        <f>IF($C$7&lt;30,VLOOKUP($C$7,$B$19:$Q$44,11,FALSE),IF($I$11=1,VLOOKUP($C$7,$S$23:$AG$41,11,FALSE),IF($I$13=1,VLOOKUP($C$7,$AI$23:$AW$41,11,FALSE),VLOOKUP($C$7,$B$19:$Q$44,11,FALSE))))</f>
        <v>22670</v>
      </c>
      <c r="D14" s="309">
        <f>IF($C$7&lt;30,VLOOKUP($C$7,$B$19:$Q$44,12,FALSE),IF($I$11=1,VLOOKUP($C$7,$S$23:$AG$41,12,FALSE),IF($I$13=1,VLOOKUP($C$7,$AI$23:$AW$41,12,FALSE),VLOOKUP($C$7,$B$19:$Q$44,12,FALSE))))</f>
        <v>7110</v>
      </c>
      <c r="E14" s="315">
        <f>IF($C$7&lt;30,VLOOKUP($C$7,$B$19:$Q$44,13,FALSE),IF($I$11=1,VLOOKUP($C$7,$S$23:$AG$41,13,FALSE),IF($I$13=1,VLOOKUP($C$7,$AI$23:$AW$41,13,FALSE),VLOOKUP($C$7,$B$19:$Q$44,13,FALSE))))</f>
        <v>5330</v>
      </c>
      <c r="H14" s="113"/>
      <c r="I14" s="113"/>
      <c r="J14" s="113"/>
      <c r="K14" s="113"/>
    </row>
    <row r="15" spans="2:32" ht="14.25">
      <c r="B15" s="305">
        <v>1</v>
      </c>
      <c r="C15" s="309">
        <f>IF($C$7&lt;30,VLOOKUP($C$7,$B$19:$Q$44,14,FALSE),IF($I$11=1,VLOOKUP($C$7,$S$23:$AG$41,14,FALSE),IF($I$13=1,VLOOKUP($C$7,$AI$23:$AW$41,14,FALSE),VLOOKUP($C$7,$B$19:$Q$44,14,FALSE))))</f>
        <v>0</v>
      </c>
      <c r="D15" s="309">
        <f>IF($C$7&lt;30,VLOOKUP($C$7,$B$19:$Q$44,15,FALSE),IF($I$11=1,VLOOKUP($C$7,$S$23:$AG$41,15,FALSE),IF($I$13=1,VLOOKUP($C$7,$AI$23:$AW$41,15,FALSE),VLOOKUP($C$7,$B$19:$Q$44,15,FALSE))))</f>
        <v>0</v>
      </c>
      <c r="E15" s="315">
        <f>IF($C$7&lt;30,VLOOKUP($C$7,$B$19:$Q$44,16,FALSE),IF($I$11=1,VLOOKUP($C$7,$S$23:$AG$41,16,FALSE),IF($I$13=1,VLOOKUP($C$7,$AI$23:$AW$41,16,FALSE),VLOOKUP($C$7,$B$19:$Q$44,16,FALSE))))</f>
        <v>0</v>
      </c>
      <c r="G15" s="318" t="s">
        <v>152</v>
      </c>
      <c r="H15" s="322">
        <f>'④所得割'!D17</f>
        <v>0</v>
      </c>
      <c r="I15" s="113"/>
      <c r="J15" s="113"/>
      <c r="K15" s="113"/>
    </row>
    <row r="16" spans="2:32">
      <c r="K16" s="113"/>
      <c r="S16" s="96" t="s">
        <v>153</v>
      </c>
      <c r="AF16" s="96" t="s">
        <v>154</v>
      </c>
    </row>
    <row r="17" spans="1:49">
      <c r="B17" s="96" t="s">
        <v>44</v>
      </c>
      <c r="S17" s="96" t="s">
        <v>155</v>
      </c>
      <c r="AF17" s="96" t="s">
        <v>156</v>
      </c>
    </row>
    <row r="18" spans="1:49">
      <c r="B18" s="306" t="s">
        <v>158</v>
      </c>
      <c r="C18" s="212" t="s">
        <v>146</v>
      </c>
      <c r="D18" s="161"/>
      <c r="E18" s="213"/>
      <c r="F18" s="212" t="s">
        <v>95</v>
      </c>
      <c r="G18" s="161"/>
      <c r="H18" s="213"/>
      <c r="I18" s="212" t="s">
        <v>96</v>
      </c>
      <c r="J18" s="161"/>
      <c r="K18" s="213"/>
      <c r="L18" s="212" t="s">
        <v>97</v>
      </c>
      <c r="M18" s="161"/>
      <c r="N18" s="213"/>
      <c r="O18" s="212" t="s">
        <v>159</v>
      </c>
      <c r="P18" s="161"/>
      <c r="Q18" s="213"/>
      <c r="S18" s="157" t="s">
        <v>52</v>
      </c>
      <c r="AF18" s="334" t="s">
        <v>160</v>
      </c>
    </row>
    <row r="19" spans="1:49">
      <c r="B19" s="103" t="s">
        <v>132</v>
      </c>
      <c r="C19" s="310" t="s">
        <v>16</v>
      </c>
      <c r="D19" s="310" t="s">
        <v>126</v>
      </c>
      <c r="E19" s="310" t="s">
        <v>127</v>
      </c>
      <c r="F19" s="310" t="s">
        <v>16</v>
      </c>
      <c r="G19" s="310" t="s">
        <v>126</v>
      </c>
      <c r="H19" s="310" t="s">
        <v>127</v>
      </c>
      <c r="I19" s="310" t="s">
        <v>16</v>
      </c>
      <c r="J19" s="310" t="s">
        <v>126</v>
      </c>
      <c r="K19" s="310" t="s">
        <v>127</v>
      </c>
      <c r="L19" s="310" t="s">
        <v>16</v>
      </c>
      <c r="M19" s="310" t="s">
        <v>126</v>
      </c>
      <c r="N19" s="310" t="s">
        <v>127</v>
      </c>
      <c r="O19" s="310" t="s">
        <v>16</v>
      </c>
      <c r="P19" s="310" t="s">
        <v>126</v>
      </c>
      <c r="Q19" s="310" t="s">
        <v>127</v>
      </c>
      <c r="S19" s="157" t="s">
        <v>161</v>
      </c>
      <c r="AF19" s="334" t="s">
        <v>162</v>
      </c>
    </row>
    <row r="20" spans="1:49">
      <c r="B20" s="103">
        <v>27</v>
      </c>
      <c r="C20" s="103">
        <v>20930</v>
      </c>
      <c r="D20" s="103">
        <v>5810</v>
      </c>
      <c r="E20" s="103">
        <v>4370</v>
      </c>
      <c r="F20" s="103">
        <v>6270</v>
      </c>
      <c r="G20" s="103">
        <v>1740</v>
      </c>
      <c r="H20" s="103">
        <v>1310</v>
      </c>
      <c r="I20" s="103">
        <v>10460</v>
      </c>
      <c r="J20" s="103">
        <v>2900</v>
      </c>
      <c r="K20" s="103">
        <v>2180</v>
      </c>
      <c r="L20" s="103">
        <v>16740</v>
      </c>
      <c r="M20" s="103">
        <v>4640</v>
      </c>
      <c r="N20" s="103">
        <v>3490</v>
      </c>
      <c r="O20" s="103"/>
      <c r="P20" s="103"/>
      <c r="Q20" s="103"/>
    </row>
    <row r="21" spans="1:49" ht="14.25">
      <c r="B21" s="103">
        <v>28</v>
      </c>
      <c r="C21" s="102">
        <v>20890</v>
      </c>
      <c r="D21" s="102">
        <v>5900</v>
      </c>
      <c r="E21" s="102">
        <v>4410</v>
      </c>
      <c r="F21" s="102">
        <v>6260</v>
      </c>
      <c r="G21" s="102">
        <v>1770</v>
      </c>
      <c r="H21" s="102">
        <v>1320</v>
      </c>
      <c r="I21" s="102">
        <v>10440</v>
      </c>
      <c r="J21" s="102">
        <v>2950</v>
      </c>
      <c r="K21" s="102">
        <v>2200</v>
      </c>
      <c r="L21" s="102">
        <v>16710</v>
      </c>
      <c r="M21" s="102">
        <v>4720</v>
      </c>
      <c r="N21" s="102">
        <v>3520</v>
      </c>
      <c r="O21" s="102"/>
      <c r="P21" s="102"/>
      <c r="Q21" s="102"/>
      <c r="S21" s="330" t="s">
        <v>146</v>
      </c>
      <c r="T21" s="332"/>
      <c r="U21" s="333"/>
      <c r="V21" s="330" t="s">
        <v>95</v>
      </c>
      <c r="W21" s="332"/>
      <c r="X21" s="333"/>
      <c r="Y21" s="330" t="s">
        <v>96</v>
      </c>
      <c r="Z21" s="332"/>
      <c r="AA21" s="333"/>
      <c r="AB21" s="330" t="s">
        <v>97</v>
      </c>
      <c r="AC21" s="332"/>
      <c r="AD21" s="333"/>
      <c r="AE21" s="330" t="s">
        <v>163</v>
      </c>
      <c r="AF21" s="332"/>
      <c r="AG21" s="333"/>
      <c r="AI21" s="335" t="s">
        <v>146</v>
      </c>
      <c r="AJ21" s="338"/>
      <c r="AK21" s="339"/>
      <c r="AL21" s="335" t="s">
        <v>95</v>
      </c>
      <c r="AM21" s="338"/>
      <c r="AN21" s="339"/>
      <c r="AO21" s="335" t="s">
        <v>96</v>
      </c>
      <c r="AP21" s="338"/>
      <c r="AQ21" s="339"/>
      <c r="AR21" s="335" t="s">
        <v>97</v>
      </c>
      <c r="AS21" s="338"/>
      <c r="AT21" s="339"/>
      <c r="AU21" s="335" t="s">
        <v>159</v>
      </c>
      <c r="AV21" s="338"/>
      <c r="AW21" s="339"/>
    </row>
    <row r="22" spans="1:49" ht="14.25">
      <c r="B22" s="105">
        <v>29</v>
      </c>
      <c r="C22" s="311">
        <v>20610</v>
      </c>
      <c r="D22" s="311">
        <v>5700</v>
      </c>
      <c r="E22" s="311">
        <v>4200</v>
      </c>
      <c r="F22" s="311">
        <v>6180</v>
      </c>
      <c r="G22" s="311">
        <v>1710</v>
      </c>
      <c r="H22" s="311">
        <v>1260</v>
      </c>
      <c r="I22" s="311">
        <v>10300</v>
      </c>
      <c r="J22" s="311">
        <v>2850</v>
      </c>
      <c r="K22" s="311">
        <v>2100</v>
      </c>
      <c r="L22" s="311">
        <v>16480</v>
      </c>
      <c r="M22" s="311">
        <v>4560</v>
      </c>
      <c r="N22" s="311">
        <v>3360</v>
      </c>
      <c r="O22" s="311"/>
      <c r="P22" s="311"/>
      <c r="Q22" s="311"/>
      <c r="R22" s="328" t="s">
        <v>164</v>
      </c>
      <c r="S22" s="331" t="s">
        <v>16</v>
      </c>
      <c r="T22" s="331" t="s">
        <v>126</v>
      </c>
      <c r="U22" s="331" t="s">
        <v>127</v>
      </c>
      <c r="V22" s="331" t="s">
        <v>16</v>
      </c>
      <c r="W22" s="331" t="s">
        <v>126</v>
      </c>
      <c r="X22" s="331" t="s">
        <v>127</v>
      </c>
      <c r="Y22" s="331" t="s">
        <v>16</v>
      </c>
      <c r="Z22" s="331" t="s">
        <v>126</v>
      </c>
      <c r="AA22" s="331" t="s">
        <v>127</v>
      </c>
      <c r="AB22" s="331" t="s">
        <v>16</v>
      </c>
      <c r="AC22" s="331" t="s">
        <v>126</v>
      </c>
      <c r="AD22" s="331" t="s">
        <v>127</v>
      </c>
      <c r="AE22" s="331" t="s">
        <v>16</v>
      </c>
      <c r="AF22" s="331" t="s">
        <v>126</v>
      </c>
      <c r="AG22" s="331" t="s">
        <v>127</v>
      </c>
      <c r="AH22" s="328" t="s">
        <v>164</v>
      </c>
      <c r="AI22" s="336" t="s">
        <v>16</v>
      </c>
      <c r="AJ22" s="336" t="s">
        <v>126</v>
      </c>
      <c r="AK22" s="336" t="s">
        <v>127</v>
      </c>
      <c r="AL22" s="336" t="s">
        <v>16</v>
      </c>
      <c r="AM22" s="336" t="s">
        <v>126</v>
      </c>
      <c r="AN22" s="336" t="s">
        <v>127</v>
      </c>
      <c r="AO22" s="336" t="s">
        <v>16</v>
      </c>
      <c r="AP22" s="336" t="s">
        <v>126</v>
      </c>
      <c r="AQ22" s="336" t="s">
        <v>127</v>
      </c>
      <c r="AR22" s="336" t="s">
        <v>16</v>
      </c>
      <c r="AS22" s="336" t="s">
        <v>126</v>
      </c>
      <c r="AT22" s="336" t="s">
        <v>127</v>
      </c>
      <c r="AU22" s="336" t="s">
        <v>16</v>
      </c>
      <c r="AV22" s="336" t="s">
        <v>126</v>
      </c>
      <c r="AW22" s="336" t="s">
        <v>127</v>
      </c>
    </row>
    <row r="23" spans="1:49" ht="14.25">
      <c r="B23" s="105">
        <v>30</v>
      </c>
      <c r="C23" s="311">
        <v>19450</v>
      </c>
      <c r="D23" s="311">
        <v>6690</v>
      </c>
      <c r="E23" s="311">
        <v>4910</v>
      </c>
      <c r="F23" s="311">
        <v>5830</v>
      </c>
      <c r="G23" s="311">
        <v>2000</v>
      </c>
      <c r="H23" s="311">
        <v>1470</v>
      </c>
      <c r="I23" s="311">
        <v>9720</v>
      </c>
      <c r="J23" s="311">
        <v>3340</v>
      </c>
      <c r="K23" s="311">
        <v>2450</v>
      </c>
      <c r="L23" s="311">
        <v>15560</v>
      </c>
      <c r="M23" s="311">
        <v>5350</v>
      </c>
      <c r="N23" s="311">
        <v>3920</v>
      </c>
      <c r="O23" s="311">
        <v>17500</v>
      </c>
      <c r="P23" s="311">
        <v>6020</v>
      </c>
      <c r="Q23" s="311">
        <v>4410</v>
      </c>
      <c r="R23" s="329">
        <v>30</v>
      </c>
      <c r="S23" s="316">
        <f t="shared" ref="S23:AG41" si="0">IF($H$15&lt;999999999,C23-500,C23)</f>
        <v>18950</v>
      </c>
      <c r="T23" s="316">
        <f t="shared" si="0"/>
        <v>6190</v>
      </c>
      <c r="U23" s="316">
        <f t="shared" si="0"/>
        <v>4410</v>
      </c>
      <c r="V23" s="316">
        <f t="shared" si="0"/>
        <v>5330</v>
      </c>
      <c r="W23" s="316">
        <f t="shared" si="0"/>
        <v>1500</v>
      </c>
      <c r="X23" s="316">
        <f t="shared" si="0"/>
        <v>970</v>
      </c>
      <c r="Y23" s="316">
        <f t="shared" si="0"/>
        <v>9220</v>
      </c>
      <c r="Z23" s="316">
        <f t="shared" si="0"/>
        <v>2840</v>
      </c>
      <c r="AA23" s="316">
        <f t="shared" si="0"/>
        <v>1950</v>
      </c>
      <c r="AB23" s="316">
        <f t="shared" si="0"/>
        <v>15060</v>
      </c>
      <c r="AC23" s="316">
        <f t="shared" si="0"/>
        <v>4850</v>
      </c>
      <c r="AD23" s="316">
        <f t="shared" si="0"/>
        <v>3420</v>
      </c>
      <c r="AE23" s="316">
        <f t="shared" si="0"/>
        <v>17000</v>
      </c>
      <c r="AF23" s="316">
        <f t="shared" si="0"/>
        <v>5520</v>
      </c>
      <c r="AG23" s="316">
        <f t="shared" si="0"/>
        <v>3910</v>
      </c>
      <c r="AH23" s="96">
        <v>30</v>
      </c>
      <c r="AI23" s="337">
        <f t="shared" ref="AI23:AW41" si="1">IF($H$15&lt;999999999,C23*8/10,C23)</f>
        <v>15560</v>
      </c>
      <c r="AJ23" s="337">
        <f t="shared" si="1"/>
        <v>5352</v>
      </c>
      <c r="AK23" s="337">
        <f t="shared" si="1"/>
        <v>3928</v>
      </c>
      <c r="AL23" s="337">
        <f t="shared" si="1"/>
        <v>4664</v>
      </c>
      <c r="AM23" s="337">
        <f t="shared" si="1"/>
        <v>1600</v>
      </c>
      <c r="AN23" s="337">
        <f t="shared" si="1"/>
        <v>1176</v>
      </c>
      <c r="AO23" s="337">
        <f t="shared" si="1"/>
        <v>7776</v>
      </c>
      <c r="AP23" s="337">
        <f t="shared" si="1"/>
        <v>2672</v>
      </c>
      <c r="AQ23" s="337">
        <f t="shared" si="1"/>
        <v>1960</v>
      </c>
      <c r="AR23" s="337">
        <f t="shared" si="1"/>
        <v>12448</v>
      </c>
      <c r="AS23" s="337">
        <f t="shared" si="1"/>
        <v>4280</v>
      </c>
      <c r="AT23" s="337">
        <f t="shared" si="1"/>
        <v>3136</v>
      </c>
      <c r="AU23" s="337">
        <f t="shared" si="1"/>
        <v>14000</v>
      </c>
      <c r="AV23" s="337">
        <f t="shared" si="1"/>
        <v>4816</v>
      </c>
      <c r="AW23" s="337">
        <f t="shared" si="1"/>
        <v>3528</v>
      </c>
    </row>
    <row r="24" spans="1:49" ht="14.25">
      <c r="A24" s="148" t="s">
        <v>133</v>
      </c>
      <c r="B24" s="105">
        <v>31</v>
      </c>
      <c r="C24" s="311">
        <v>20040</v>
      </c>
      <c r="D24" s="311">
        <v>6470</v>
      </c>
      <c r="E24" s="311">
        <v>4810</v>
      </c>
      <c r="F24" s="311">
        <v>6010</v>
      </c>
      <c r="G24" s="311">
        <v>1940</v>
      </c>
      <c r="H24" s="311">
        <v>1440</v>
      </c>
      <c r="I24" s="311">
        <v>10020</v>
      </c>
      <c r="J24" s="311">
        <v>3230</v>
      </c>
      <c r="K24" s="311">
        <v>2400</v>
      </c>
      <c r="L24" s="311">
        <v>16030</v>
      </c>
      <c r="M24" s="311">
        <v>5170</v>
      </c>
      <c r="N24" s="311">
        <v>3840</v>
      </c>
      <c r="O24" s="311">
        <v>18030</v>
      </c>
      <c r="P24" s="311">
        <v>5820</v>
      </c>
      <c r="Q24" s="311">
        <v>4320</v>
      </c>
      <c r="R24" s="329">
        <v>31</v>
      </c>
      <c r="S24" s="316">
        <f t="shared" si="0"/>
        <v>19540</v>
      </c>
      <c r="T24" s="316">
        <f t="shared" si="0"/>
        <v>5970</v>
      </c>
      <c r="U24" s="316">
        <f t="shared" si="0"/>
        <v>4310</v>
      </c>
      <c r="V24" s="316">
        <f t="shared" si="0"/>
        <v>5510</v>
      </c>
      <c r="W24" s="316">
        <f t="shared" si="0"/>
        <v>1440</v>
      </c>
      <c r="X24" s="316">
        <f t="shared" si="0"/>
        <v>940</v>
      </c>
      <c r="Y24" s="316">
        <f t="shared" si="0"/>
        <v>9520</v>
      </c>
      <c r="Z24" s="316">
        <f t="shared" si="0"/>
        <v>2730</v>
      </c>
      <c r="AA24" s="316">
        <f t="shared" si="0"/>
        <v>1900</v>
      </c>
      <c r="AB24" s="316">
        <f t="shared" si="0"/>
        <v>15530</v>
      </c>
      <c r="AC24" s="316">
        <f t="shared" si="0"/>
        <v>4670</v>
      </c>
      <c r="AD24" s="316">
        <f t="shared" si="0"/>
        <v>3340</v>
      </c>
      <c r="AE24" s="316">
        <f t="shared" si="0"/>
        <v>17530</v>
      </c>
      <c r="AF24" s="316">
        <f t="shared" si="0"/>
        <v>5320</v>
      </c>
      <c r="AG24" s="316">
        <f t="shared" si="0"/>
        <v>3820</v>
      </c>
      <c r="AH24" s="96">
        <v>31</v>
      </c>
      <c r="AI24" s="337">
        <f t="shared" si="1"/>
        <v>16032</v>
      </c>
      <c r="AJ24" s="337">
        <f t="shared" si="1"/>
        <v>5176</v>
      </c>
      <c r="AK24" s="337">
        <f t="shared" si="1"/>
        <v>3848</v>
      </c>
      <c r="AL24" s="337">
        <f t="shared" si="1"/>
        <v>4808</v>
      </c>
      <c r="AM24" s="337">
        <f t="shared" si="1"/>
        <v>1552</v>
      </c>
      <c r="AN24" s="337">
        <f t="shared" si="1"/>
        <v>1152</v>
      </c>
      <c r="AO24" s="337">
        <f t="shared" si="1"/>
        <v>8016</v>
      </c>
      <c r="AP24" s="337">
        <f t="shared" si="1"/>
        <v>2584</v>
      </c>
      <c r="AQ24" s="337">
        <f t="shared" si="1"/>
        <v>1920</v>
      </c>
      <c r="AR24" s="337">
        <f t="shared" si="1"/>
        <v>12824</v>
      </c>
      <c r="AS24" s="337">
        <f t="shared" si="1"/>
        <v>4136</v>
      </c>
      <c r="AT24" s="337">
        <f t="shared" si="1"/>
        <v>3072</v>
      </c>
      <c r="AU24" s="337">
        <f t="shared" si="1"/>
        <v>14424</v>
      </c>
      <c r="AV24" s="337">
        <f t="shared" si="1"/>
        <v>4656</v>
      </c>
      <c r="AW24" s="337">
        <f t="shared" si="1"/>
        <v>3456</v>
      </c>
    </row>
    <row r="25" spans="1:49" ht="14.25">
      <c r="A25" s="148" t="s">
        <v>136</v>
      </c>
      <c r="B25" s="105">
        <v>2</v>
      </c>
      <c r="C25" s="311">
        <v>20430</v>
      </c>
      <c r="D25" s="311">
        <v>6630</v>
      </c>
      <c r="E25" s="311">
        <v>4820</v>
      </c>
      <c r="F25" s="311">
        <f t="shared" ref="F25:H26" si="2">C25-ROUNDUP(C25*0.7,-1)</f>
        <v>6120</v>
      </c>
      <c r="G25" s="311">
        <f t="shared" si="2"/>
        <v>1980</v>
      </c>
      <c r="H25" s="311">
        <f t="shared" si="2"/>
        <v>1440</v>
      </c>
      <c r="I25" s="311">
        <f t="shared" ref="I25:K26" si="3">C25-ROUNDUP(C25*0.5,-1)</f>
        <v>10210</v>
      </c>
      <c r="J25" s="311">
        <f t="shared" si="3"/>
        <v>3310</v>
      </c>
      <c r="K25" s="311">
        <f t="shared" si="3"/>
        <v>2410</v>
      </c>
      <c r="L25" s="311">
        <f t="shared" ref="L25:N26" si="4">C25-ROUNDUP(C25*0.2,-1)</f>
        <v>16340</v>
      </c>
      <c r="M25" s="311">
        <f t="shared" si="4"/>
        <v>5300</v>
      </c>
      <c r="N25" s="311">
        <f t="shared" si="4"/>
        <v>3850</v>
      </c>
      <c r="O25" s="311">
        <f t="shared" ref="O25:Q26" si="5">C25-ROUNDUP(C25*0.1,-1)</f>
        <v>18380</v>
      </c>
      <c r="P25" s="311">
        <f t="shared" si="5"/>
        <v>5960</v>
      </c>
      <c r="Q25" s="311">
        <f t="shared" si="5"/>
        <v>4330</v>
      </c>
      <c r="R25" s="329">
        <v>32</v>
      </c>
      <c r="S25" s="316">
        <f t="shared" si="0"/>
        <v>19930</v>
      </c>
      <c r="T25" s="316">
        <f t="shared" si="0"/>
        <v>6130</v>
      </c>
      <c r="U25" s="316">
        <f t="shared" si="0"/>
        <v>4320</v>
      </c>
      <c r="V25" s="316">
        <f t="shared" si="0"/>
        <v>5620</v>
      </c>
      <c r="W25" s="316">
        <f t="shared" si="0"/>
        <v>1480</v>
      </c>
      <c r="X25" s="316">
        <f t="shared" si="0"/>
        <v>940</v>
      </c>
      <c r="Y25" s="316">
        <f t="shared" si="0"/>
        <v>9710</v>
      </c>
      <c r="Z25" s="316">
        <f t="shared" si="0"/>
        <v>2810</v>
      </c>
      <c r="AA25" s="316">
        <f t="shared" si="0"/>
        <v>1910</v>
      </c>
      <c r="AB25" s="316">
        <f t="shared" si="0"/>
        <v>15840</v>
      </c>
      <c r="AC25" s="316">
        <f t="shared" si="0"/>
        <v>4800</v>
      </c>
      <c r="AD25" s="316">
        <f t="shared" si="0"/>
        <v>3350</v>
      </c>
      <c r="AE25" s="316">
        <f t="shared" si="0"/>
        <v>17880</v>
      </c>
      <c r="AF25" s="316">
        <f t="shared" si="0"/>
        <v>5460</v>
      </c>
      <c r="AG25" s="316">
        <f t="shared" si="0"/>
        <v>3830</v>
      </c>
      <c r="AH25" s="96">
        <v>32</v>
      </c>
      <c r="AI25" s="337">
        <f t="shared" si="1"/>
        <v>16344</v>
      </c>
      <c r="AJ25" s="337">
        <f t="shared" si="1"/>
        <v>5304</v>
      </c>
      <c r="AK25" s="337">
        <f t="shared" si="1"/>
        <v>3856</v>
      </c>
      <c r="AL25" s="337">
        <f t="shared" si="1"/>
        <v>4896</v>
      </c>
      <c r="AM25" s="337">
        <f t="shared" si="1"/>
        <v>1584</v>
      </c>
      <c r="AN25" s="337">
        <f t="shared" si="1"/>
        <v>1152</v>
      </c>
      <c r="AO25" s="337">
        <f t="shared" si="1"/>
        <v>8168</v>
      </c>
      <c r="AP25" s="337">
        <f t="shared" si="1"/>
        <v>2648</v>
      </c>
      <c r="AQ25" s="337">
        <f t="shared" si="1"/>
        <v>1928</v>
      </c>
      <c r="AR25" s="337">
        <f t="shared" si="1"/>
        <v>13072</v>
      </c>
      <c r="AS25" s="337">
        <f t="shared" si="1"/>
        <v>4240</v>
      </c>
      <c r="AT25" s="337">
        <f t="shared" si="1"/>
        <v>3080</v>
      </c>
      <c r="AU25" s="337">
        <f t="shared" si="1"/>
        <v>14704</v>
      </c>
      <c r="AV25" s="337">
        <f t="shared" si="1"/>
        <v>4768</v>
      </c>
      <c r="AW25" s="337">
        <f t="shared" si="1"/>
        <v>3464</v>
      </c>
    </row>
    <row r="26" spans="1:49" ht="14.25">
      <c r="A26" s="148" t="s">
        <v>103</v>
      </c>
      <c r="B26" s="105">
        <v>3</v>
      </c>
      <c r="C26" s="311">
        <v>26640</v>
      </c>
      <c r="D26" s="311">
        <v>8750</v>
      </c>
      <c r="E26" s="311">
        <v>6360</v>
      </c>
      <c r="F26" s="311">
        <f t="shared" si="2"/>
        <v>7990</v>
      </c>
      <c r="G26" s="311">
        <f t="shared" si="2"/>
        <v>2620</v>
      </c>
      <c r="H26" s="311">
        <f t="shared" si="2"/>
        <v>1900</v>
      </c>
      <c r="I26" s="311">
        <f t="shared" si="3"/>
        <v>13320</v>
      </c>
      <c r="J26" s="311">
        <f t="shared" si="3"/>
        <v>4370</v>
      </c>
      <c r="K26" s="311">
        <f t="shared" si="3"/>
        <v>3180</v>
      </c>
      <c r="L26" s="311">
        <f t="shared" si="4"/>
        <v>21310</v>
      </c>
      <c r="M26" s="311">
        <f t="shared" si="4"/>
        <v>7000</v>
      </c>
      <c r="N26" s="311">
        <f t="shared" si="4"/>
        <v>5080</v>
      </c>
      <c r="O26" s="311">
        <f t="shared" si="5"/>
        <v>23970</v>
      </c>
      <c r="P26" s="311">
        <f t="shared" si="5"/>
        <v>7870</v>
      </c>
      <c r="Q26" s="311">
        <f t="shared" si="5"/>
        <v>5720</v>
      </c>
      <c r="R26" s="329">
        <v>33</v>
      </c>
      <c r="S26" s="316">
        <f t="shared" si="0"/>
        <v>26140</v>
      </c>
      <c r="T26" s="316">
        <f t="shared" si="0"/>
        <v>8250</v>
      </c>
      <c r="U26" s="316">
        <f t="shared" si="0"/>
        <v>5860</v>
      </c>
      <c r="V26" s="316">
        <f t="shared" si="0"/>
        <v>7490</v>
      </c>
      <c r="W26" s="316">
        <f t="shared" si="0"/>
        <v>2120</v>
      </c>
      <c r="X26" s="316">
        <f t="shared" si="0"/>
        <v>1400</v>
      </c>
      <c r="Y26" s="316">
        <f t="shared" si="0"/>
        <v>12820</v>
      </c>
      <c r="Z26" s="316">
        <f t="shared" si="0"/>
        <v>3870</v>
      </c>
      <c r="AA26" s="316">
        <f t="shared" si="0"/>
        <v>2680</v>
      </c>
      <c r="AB26" s="316">
        <f t="shared" si="0"/>
        <v>20810</v>
      </c>
      <c r="AC26" s="316">
        <f t="shared" si="0"/>
        <v>6500</v>
      </c>
      <c r="AD26" s="316">
        <f t="shared" si="0"/>
        <v>4580</v>
      </c>
      <c r="AE26" s="316">
        <f t="shared" si="0"/>
        <v>23470</v>
      </c>
      <c r="AF26" s="316">
        <f t="shared" si="0"/>
        <v>7370</v>
      </c>
      <c r="AG26" s="316">
        <f t="shared" si="0"/>
        <v>5220</v>
      </c>
      <c r="AH26" s="96">
        <v>33</v>
      </c>
      <c r="AI26" s="337">
        <f t="shared" si="1"/>
        <v>21312</v>
      </c>
      <c r="AJ26" s="337">
        <f t="shared" si="1"/>
        <v>7000</v>
      </c>
      <c r="AK26" s="337">
        <f t="shared" si="1"/>
        <v>5088</v>
      </c>
      <c r="AL26" s="337">
        <f t="shared" si="1"/>
        <v>6392</v>
      </c>
      <c r="AM26" s="337">
        <f t="shared" si="1"/>
        <v>2096</v>
      </c>
      <c r="AN26" s="337">
        <f t="shared" si="1"/>
        <v>1520</v>
      </c>
      <c r="AO26" s="337">
        <f t="shared" si="1"/>
        <v>10656</v>
      </c>
      <c r="AP26" s="337">
        <f t="shared" si="1"/>
        <v>3496</v>
      </c>
      <c r="AQ26" s="337">
        <f t="shared" si="1"/>
        <v>2544</v>
      </c>
      <c r="AR26" s="337">
        <f t="shared" si="1"/>
        <v>17048</v>
      </c>
      <c r="AS26" s="337">
        <f t="shared" si="1"/>
        <v>5600</v>
      </c>
      <c r="AT26" s="337">
        <f t="shared" si="1"/>
        <v>4064</v>
      </c>
      <c r="AU26" s="337">
        <f t="shared" si="1"/>
        <v>19176</v>
      </c>
      <c r="AV26" s="337">
        <f t="shared" si="1"/>
        <v>6296</v>
      </c>
      <c r="AW26" s="337">
        <f t="shared" si="1"/>
        <v>4576</v>
      </c>
    </row>
    <row r="27" spans="1:49" ht="14.25">
      <c r="A27" s="148" t="s">
        <v>137</v>
      </c>
      <c r="B27" s="105">
        <v>4</v>
      </c>
      <c r="C27" s="311">
        <v>27240</v>
      </c>
      <c r="D27" s="311">
        <v>8660</v>
      </c>
      <c r="E27" s="311">
        <v>6460</v>
      </c>
      <c r="F27" s="311">
        <v>8170</v>
      </c>
      <c r="G27" s="311">
        <v>2590</v>
      </c>
      <c r="H27" s="311">
        <v>1930</v>
      </c>
      <c r="I27" s="311">
        <v>13620</v>
      </c>
      <c r="J27" s="311">
        <v>4330</v>
      </c>
      <c r="K27" s="311">
        <v>3230</v>
      </c>
      <c r="L27" s="311">
        <v>21790</v>
      </c>
      <c r="M27" s="311">
        <v>6920</v>
      </c>
      <c r="N27" s="311">
        <v>5160</v>
      </c>
      <c r="O27" s="311"/>
      <c r="P27" s="311"/>
      <c r="Q27" s="311"/>
      <c r="R27" s="329">
        <v>34</v>
      </c>
      <c r="S27" s="316">
        <f t="shared" si="0"/>
        <v>26740</v>
      </c>
      <c r="T27" s="316">
        <f t="shared" si="0"/>
        <v>8160</v>
      </c>
      <c r="U27" s="316">
        <f t="shared" si="0"/>
        <v>5960</v>
      </c>
      <c r="V27" s="316">
        <f t="shared" si="0"/>
        <v>7670</v>
      </c>
      <c r="W27" s="316">
        <f t="shared" si="0"/>
        <v>2090</v>
      </c>
      <c r="X27" s="316">
        <f t="shared" si="0"/>
        <v>1430</v>
      </c>
      <c r="Y27" s="316">
        <f t="shared" si="0"/>
        <v>13120</v>
      </c>
      <c r="Z27" s="316">
        <f t="shared" si="0"/>
        <v>3830</v>
      </c>
      <c r="AA27" s="316">
        <f t="shared" si="0"/>
        <v>2730</v>
      </c>
      <c r="AB27" s="316">
        <f t="shared" si="0"/>
        <v>21290</v>
      </c>
      <c r="AC27" s="316">
        <f t="shared" si="0"/>
        <v>6420</v>
      </c>
      <c r="AD27" s="316">
        <f t="shared" si="0"/>
        <v>4660</v>
      </c>
      <c r="AE27" s="316">
        <f t="shared" si="0"/>
        <v>-500</v>
      </c>
      <c r="AF27" s="316">
        <f t="shared" si="0"/>
        <v>-500</v>
      </c>
      <c r="AG27" s="316">
        <f t="shared" si="0"/>
        <v>-500</v>
      </c>
      <c r="AH27" s="96">
        <v>34</v>
      </c>
      <c r="AI27" s="337">
        <f t="shared" si="1"/>
        <v>21792</v>
      </c>
      <c r="AJ27" s="337">
        <f t="shared" si="1"/>
        <v>6928</v>
      </c>
      <c r="AK27" s="337">
        <f t="shared" si="1"/>
        <v>5168</v>
      </c>
      <c r="AL27" s="337">
        <f t="shared" si="1"/>
        <v>6536</v>
      </c>
      <c r="AM27" s="337">
        <f t="shared" si="1"/>
        <v>2072</v>
      </c>
      <c r="AN27" s="337">
        <f t="shared" si="1"/>
        <v>1544</v>
      </c>
      <c r="AO27" s="337">
        <f t="shared" si="1"/>
        <v>10896</v>
      </c>
      <c r="AP27" s="337">
        <f t="shared" si="1"/>
        <v>3464</v>
      </c>
      <c r="AQ27" s="337">
        <f t="shared" si="1"/>
        <v>2584</v>
      </c>
      <c r="AR27" s="337">
        <f t="shared" si="1"/>
        <v>17432</v>
      </c>
      <c r="AS27" s="337">
        <f t="shared" si="1"/>
        <v>5536</v>
      </c>
      <c r="AT27" s="337">
        <f t="shared" si="1"/>
        <v>4128</v>
      </c>
      <c r="AU27" s="337">
        <f t="shared" si="1"/>
        <v>0</v>
      </c>
      <c r="AV27" s="337">
        <f t="shared" si="1"/>
        <v>0</v>
      </c>
      <c r="AW27" s="337">
        <f t="shared" si="1"/>
        <v>0</v>
      </c>
    </row>
    <row r="28" spans="1:49" ht="14.25">
      <c r="A28" s="148" t="s">
        <v>138</v>
      </c>
      <c r="B28" s="105">
        <v>5</v>
      </c>
      <c r="C28" s="312">
        <v>26700</v>
      </c>
      <c r="D28" s="312">
        <v>9000</v>
      </c>
      <c r="E28" s="312">
        <v>6680</v>
      </c>
      <c r="F28" s="312">
        <v>8010</v>
      </c>
      <c r="G28" s="312">
        <v>2700</v>
      </c>
      <c r="H28" s="312">
        <v>2000</v>
      </c>
      <c r="I28" s="312">
        <v>13350</v>
      </c>
      <c r="J28" s="312">
        <v>4500</v>
      </c>
      <c r="K28" s="312">
        <v>3340</v>
      </c>
      <c r="L28" s="312">
        <v>21360</v>
      </c>
      <c r="M28" s="312">
        <v>7200</v>
      </c>
      <c r="N28" s="312">
        <v>5340</v>
      </c>
      <c r="O28" s="311"/>
      <c r="P28" s="311"/>
      <c r="Q28" s="311"/>
      <c r="R28" s="329">
        <v>35</v>
      </c>
      <c r="S28" s="316">
        <f t="shared" si="0"/>
        <v>26200</v>
      </c>
      <c r="T28" s="316">
        <f t="shared" si="0"/>
        <v>8500</v>
      </c>
      <c r="U28" s="316">
        <f t="shared" si="0"/>
        <v>6180</v>
      </c>
      <c r="V28" s="316">
        <f t="shared" si="0"/>
        <v>7510</v>
      </c>
      <c r="W28" s="316">
        <f t="shared" si="0"/>
        <v>2200</v>
      </c>
      <c r="X28" s="316">
        <f t="shared" si="0"/>
        <v>1500</v>
      </c>
      <c r="Y28" s="316">
        <f t="shared" si="0"/>
        <v>12850</v>
      </c>
      <c r="Z28" s="316">
        <f t="shared" si="0"/>
        <v>4000</v>
      </c>
      <c r="AA28" s="316">
        <f t="shared" si="0"/>
        <v>2840</v>
      </c>
      <c r="AB28" s="316">
        <f t="shared" si="0"/>
        <v>20860</v>
      </c>
      <c r="AC28" s="316">
        <f t="shared" si="0"/>
        <v>6700</v>
      </c>
      <c r="AD28" s="316">
        <f t="shared" si="0"/>
        <v>4840</v>
      </c>
      <c r="AE28" s="316">
        <f t="shared" si="0"/>
        <v>-500</v>
      </c>
      <c r="AF28" s="316">
        <f t="shared" si="0"/>
        <v>-500</v>
      </c>
      <c r="AG28" s="316">
        <f t="shared" si="0"/>
        <v>-500</v>
      </c>
      <c r="AH28" s="96">
        <v>35</v>
      </c>
      <c r="AI28" s="337">
        <f t="shared" si="1"/>
        <v>21360</v>
      </c>
      <c r="AJ28" s="337">
        <f t="shared" si="1"/>
        <v>7200</v>
      </c>
      <c r="AK28" s="337">
        <f t="shared" si="1"/>
        <v>5344</v>
      </c>
      <c r="AL28" s="337">
        <f t="shared" si="1"/>
        <v>6408</v>
      </c>
      <c r="AM28" s="337">
        <f t="shared" si="1"/>
        <v>2160</v>
      </c>
      <c r="AN28" s="337">
        <f t="shared" si="1"/>
        <v>1600</v>
      </c>
      <c r="AO28" s="337">
        <f t="shared" si="1"/>
        <v>10680</v>
      </c>
      <c r="AP28" s="337">
        <f t="shared" si="1"/>
        <v>3600</v>
      </c>
      <c r="AQ28" s="337">
        <f t="shared" si="1"/>
        <v>2672</v>
      </c>
      <c r="AR28" s="337">
        <f t="shared" si="1"/>
        <v>17088</v>
      </c>
      <c r="AS28" s="337">
        <f t="shared" si="1"/>
        <v>5760</v>
      </c>
      <c r="AT28" s="337">
        <f t="shared" si="1"/>
        <v>4272</v>
      </c>
      <c r="AU28" s="337">
        <f t="shared" si="1"/>
        <v>0</v>
      </c>
      <c r="AV28" s="337">
        <f t="shared" si="1"/>
        <v>0</v>
      </c>
      <c r="AW28" s="337">
        <f t="shared" si="1"/>
        <v>0</v>
      </c>
    </row>
    <row r="29" spans="1:49" ht="14.25">
      <c r="A29" s="148" t="s">
        <v>140</v>
      </c>
      <c r="B29" s="105">
        <v>6</v>
      </c>
      <c r="C29" s="311">
        <v>27040</v>
      </c>
      <c r="D29" s="311">
        <v>9300</v>
      </c>
      <c r="E29" s="311">
        <v>6910</v>
      </c>
      <c r="F29" s="311">
        <v>8110</v>
      </c>
      <c r="G29" s="311">
        <v>2790</v>
      </c>
      <c r="H29" s="311">
        <v>2070</v>
      </c>
      <c r="I29" s="311">
        <v>13520</v>
      </c>
      <c r="J29" s="311">
        <v>4650</v>
      </c>
      <c r="K29" s="311">
        <v>3450</v>
      </c>
      <c r="L29" s="311">
        <v>21630</v>
      </c>
      <c r="M29" s="311">
        <v>7440</v>
      </c>
      <c r="N29" s="311">
        <v>5520</v>
      </c>
      <c r="O29" s="311"/>
      <c r="P29" s="311"/>
      <c r="Q29" s="311"/>
      <c r="R29" s="329">
        <v>36</v>
      </c>
      <c r="S29" s="316">
        <f t="shared" si="0"/>
        <v>26540</v>
      </c>
      <c r="T29" s="316">
        <f t="shared" si="0"/>
        <v>8800</v>
      </c>
      <c r="U29" s="316">
        <f t="shared" si="0"/>
        <v>6410</v>
      </c>
      <c r="V29" s="316">
        <f t="shared" si="0"/>
        <v>7610</v>
      </c>
      <c r="W29" s="316">
        <f t="shared" si="0"/>
        <v>2290</v>
      </c>
      <c r="X29" s="316">
        <f t="shared" si="0"/>
        <v>1570</v>
      </c>
      <c r="Y29" s="316">
        <f t="shared" si="0"/>
        <v>13020</v>
      </c>
      <c r="Z29" s="316">
        <f t="shared" si="0"/>
        <v>4150</v>
      </c>
      <c r="AA29" s="316">
        <f t="shared" si="0"/>
        <v>2950</v>
      </c>
      <c r="AB29" s="316">
        <f t="shared" si="0"/>
        <v>21130</v>
      </c>
      <c r="AC29" s="316">
        <f t="shared" si="0"/>
        <v>6940</v>
      </c>
      <c r="AD29" s="316">
        <f t="shared" si="0"/>
        <v>5020</v>
      </c>
      <c r="AE29" s="316">
        <f t="shared" si="0"/>
        <v>-500</v>
      </c>
      <c r="AF29" s="316">
        <f t="shared" si="0"/>
        <v>-500</v>
      </c>
      <c r="AG29" s="316">
        <f t="shared" si="0"/>
        <v>-500</v>
      </c>
      <c r="AH29" s="96">
        <v>36</v>
      </c>
      <c r="AI29" s="337">
        <f t="shared" si="1"/>
        <v>21632</v>
      </c>
      <c r="AJ29" s="337">
        <f t="shared" si="1"/>
        <v>7440</v>
      </c>
      <c r="AK29" s="337">
        <f t="shared" si="1"/>
        <v>5528</v>
      </c>
      <c r="AL29" s="337">
        <f t="shared" si="1"/>
        <v>6488</v>
      </c>
      <c r="AM29" s="337">
        <f t="shared" si="1"/>
        <v>2232</v>
      </c>
      <c r="AN29" s="337">
        <f t="shared" si="1"/>
        <v>1656</v>
      </c>
      <c r="AO29" s="337">
        <f t="shared" si="1"/>
        <v>10816</v>
      </c>
      <c r="AP29" s="337">
        <f t="shared" si="1"/>
        <v>3720</v>
      </c>
      <c r="AQ29" s="337">
        <f t="shared" si="1"/>
        <v>2760</v>
      </c>
      <c r="AR29" s="337">
        <f t="shared" si="1"/>
        <v>17304</v>
      </c>
      <c r="AS29" s="337">
        <f t="shared" si="1"/>
        <v>5952</v>
      </c>
      <c r="AT29" s="337">
        <f t="shared" si="1"/>
        <v>4416</v>
      </c>
      <c r="AU29" s="337">
        <f t="shared" si="1"/>
        <v>0</v>
      </c>
      <c r="AV29" s="337">
        <f t="shared" si="1"/>
        <v>0</v>
      </c>
      <c r="AW29" s="337">
        <f t="shared" si="1"/>
        <v>0</v>
      </c>
    </row>
    <row r="30" spans="1:49" ht="14.25">
      <c r="A30" s="148" t="s">
        <v>165</v>
      </c>
      <c r="B30" s="105">
        <v>7</v>
      </c>
      <c r="C30" s="311">
        <v>28340</v>
      </c>
      <c r="D30" s="311">
        <v>8890</v>
      </c>
      <c r="E30" s="311">
        <v>6670</v>
      </c>
      <c r="F30" s="311">
        <v>8500</v>
      </c>
      <c r="G30" s="311">
        <v>2660</v>
      </c>
      <c r="H30" s="311">
        <v>2000</v>
      </c>
      <c r="I30" s="311">
        <v>14170</v>
      </c>
      <c r="J30" s="311">
        <v>4440</v>
      </c>
      <c r="K30" s="311">
        <v>3330</v>
      </c>
      <c r="L30" s="311">
        <v>22670</v>
      </c>
      <c r="M30" s="311">
        <v>7110</v>
      </c>
      <c r="N30" s="311">
        <v>5330</v>
      </c>
      <c r="O30" s="311"/>
      <c r="P30" s="311"/>
      <c r="Q30" s="311"/>
      <c r="R30" s="329">
        <v>37</v>
      </c>
      <c r="S30" s="316">
        <f t="shared" si="0"/>
        <v>27840</v>
      </c>
      <c r="T30" s="316">
        <f t="shared" si="0"/>
        <v>8390</v>
      </c>
      <c r="U30" s="316">
        <f t="shared" si="0"/>
        <v>6170</v>
      </c>
      <c r="V30" s="316">
        <f t="shared" si="0"/>
        <v>8000</v>
      </c>
      <c r="W30" s="316">
        <f t="shared" si="0"/>
        <v>2160</v>
      </c>
      <c r="X30" s="316">
        <f t="shared" si="0"/>
        <v>1500</v>
      </c>
      <c r="Y30" s="316">
        <f t="shared" si="0"/>
        <v>13670</v>
      </c>
      <c r="Z30" s="316">
        <f t="shared" si="0"/>
        <v>3940</v>
      </c>
      <c r="AA30" s="316">
        <f t="shared" si="0"/>
        <v>2830</v>
      </c>
      <c r="AB30" s="316">
        <f t="shared" si="0"/>
        <v>22170</v>
      </c>
      <c r="AC30" s="316">
        <f t="shared" si="0"/>
        <v>6610</v>
      </c>
      <c r="AD30" s="316">
        <f t="shared" si="0"/>
        <v>4830</v>
      </c>
      <c r="AE30" s="316">
        <f t="shared" si="0"/>
        <v>-500</v>
      </c>
      <c r="AF30" s="316">
        <f t="shared" si="0"/>
        <v>-500</v>
      </c>
      <c r="AG30" s="316">
        <f t="shared" si="0"/>
        <v>-500</v>
      </c>
      <c r="AH30" s="96">
        <v>37</v>
      </c>
      <c r="AI30" s="337">
        <f t="shared" si="1"/>
        <v>22672</v>
      </c>
      <c r="AJ30" s="337">
        <f t="shared" si="1"/>
        <v>7112</v>
      </c>
      <c r="AK30" s="337">
        <f t="shared" si="1"/>
        <v>5336</v>
      </c>
      <c r="AL30" s="337">
        <f t="shared" si="1"/>
        <v>6800</v>
      </c>
      <c r="AM30" s="337">
        <f t="shared" si="1"/>
        <v>2128</v>
      </c>
      <c r="AN30" s="337">
        <f t="shared" si="1"/>
        <v>1600</v>
      </c>
      <c r="AO30" s="337">
        <f t="shared" si="1"/>
        <v>11336</v>
      </c>
      <c r="AP30" s="337">
        <f t="shared" si="1"/>
        <v>3552</v>
      </c>
      <c r="AQ30" s="337">
        <f t="shared" si="1"/>
        <v>2664</v>
      </c>
      <c r="AR30" s="337">
        <f t="shared" si="1"/>
        <v>18136</v>
      </c>
      <c r="AS30" s="337">
        <f t="shared" si="1"/>
        <v>5688</v>
      </c>
      <c r="AT30" s="337">
        <f t="shared" si="1"/>
        <v>4264</v>
      </c>
      <c r="AU30" s="337">
        <f t="shared" si="1"/>
        <v>0</v>
      </c>
      <c r="AV30" s="337">
        <f t="shared" si="1"/>
        <v>0</v>
      </c>
      <c r="AW30" s="337">
        <f t="shared" si="1"/>
        <v>0</v>
      </c>
    </row>
    <row r="31" spans="1:49" ht="14.25">
      <c r="A31" s="148" t="s">
        <v>32</v>
      </c>
      <c r="B31" s="105">
        <v>8</v>
      </c>
      <c r="C31" s="311"/>
      <c r="D31" s="311"/>
      <c r="E31" s="311"/>
      <c r="F31" s="311"/>
      <c r="G31" s="311"/>
      <c r="H31" s="311"/>
      <c r="I31" s="311"/>
      <c r="J31" s="311"/>
      <c r="K31" s="311"/>
      <c r="L31" s="311"/>
      <c r="M31" s="311"/>
      <c r="N31" s="311"/>
      <c r="O31" s="311"/>
      <c r="P31" s="311"/>
      <c r="Q31" s="311"/>
      <c r="R31" s="329">
        <v>38</v>
      </c>
      <c r="S31" s="316">
        <f t="shared" si="0"/>
        <v>-500</v>
      </c>
      <c r="T31" s="316">
        <f t="shared" si="0"/>
        <v>-500</v>
      </c>
      <c r="U31" s="316">
        <f t="shared" si="0"/>
        <v>-500</v>
      </c>
      <c r="V31" s="316">
        <f t="shared" si="0"/>
        <v>-500</v>
      </c>
      <c r="W31" s="316">
        <f t="shared" si="0"/>
        <v>-500</v>
      </c>
      <c r="X31" s="316">
        <f t="shared" si="0"/>
        <v>-500</v>
      </c>
      <c r="Y31" s="316">
        <f t="shared" si="0"/>
        <v>-500</v>
      </c>
      <c r="Z31" s="316">
        <f t="shared" si="0"/>
        <v>-500</v>
      </c>
      <c r="AA31" s="316">
        <f t="shared" si="0"/>
        <v>-500</v>
      </c>
      <c r="AB31" s="316">
        <f t="shared" si="0"/>
        <v>-500</v>
      </c>
      <c r="AC31" s="316">
        <f t="shared" si="0"/>
        <v>-500</v>
      </c>
      <c r="AD31" s="316">
        <f t="shared" si="0"/>
        <v>-500</v>
      </c>
      <c r="AE31" s="316">
        <f t="shared" si="0"/>
        <v>-500</v>
      </c>
      <c r="AF31" s="316">
        <f t="shared" si="0"/>
        <v>-500</v>
      </c>
      <c r="AG31" s="316">
        <f t="shared" si="0"/>
        <v>-500</v>
      </c>
      <c r="AH31" s="96">
        <v>38</v>
      </c>
      <c r="AI31" s="337">
        <f t="shared" si="1"/>
        <v>0</v>
      </c>
      <c r="AJ31" s="337">
        <f t="shared" si="1"/>
        <v>0</v>
      </c>
      <c r="AK31" s="337">
        <f t="shared" si="1"/>
        <v>0</v>
      </c>
      <c r="AL31" s="337">
        <f t="shared" si="1"/>
        <v>0</v>
      </c>
      <c r="AM31" s="337">
        <f t="shared" si="1"/>
        <v>0</v>
      </c>
      <c r="AN31" s="337">
        <f t="shared" si="1"/>
        <v>0</v>
      </c>
      <c r="AO31" s="337">
        <f t="shared" si="1"/>
        <v>0</v>
      </c>
      <c r="AP31" s="337">
        <f t="shared" si="1"/>
        <v>0</v>
      </c>
      <c r="AQ31" s="337">
        <f t="shared" si="1"/>
        <v>0</v>
      </c>
      <c r="AR31" s="337">
        <f t="shared" si="1"/>
        <v>0</v>
      </c>
      <c r="AS31" s="337">
        <f t="shared" si="1"/>
        <v>0</v>
      </c>
      <c r="AT31" s="337">
        <f t="shared" si="1"/>
        <v>0</v>
      </c>
      <c r="AU31" s="337">
        <f t="shared" si="1"/>
        <v>0</v>
      </c>
      <c r="AV31" s="337">
        <f t="shared" si="1"/>
        <v>0</v>
      </c>
      <c r="AW31" s="337">
        <f t="shared" si="1"/>
        <v>0</v>
      </c>
    </row>
    <row r="32" spans="1:49" ht="14.25">
      <c r="A32" s="148" t="s">
        <v>56</v>
      </c>
      <c r="B32" s="105">
        <v>9</v>
      </c>
      <c r="C32" s="311"/>
      <c r="D32" s="311"/>
      <c r="E32" s="311"/>
      <c r="F32" s="311"/>
      <c r="G32" s="311"/>
      <c r="H32" s="311"/>
      <c r="I32" s="311"/>
      <c r="J32" s="311"/>
      <c r="K32" s="311"/>
      <c r="L32" s="311"/>
      <c r="M32" s="311"/>
      <c r="N32" s="311"/>
      <c r="O32" s="311"/>
      <c r="P32" s="311"/>
      <c r="Q32" s="311"/>
      <c r="R32" s="329">
        <v>39</v>
      </c>
      <c r="S32" s="316">
        <f t="shared" si="0"/>
        <v>-500</v>
      </c>
      <c r="T32" s="316">
        <f t="shared" si="0"/>
        <v>-500</v>
      </c>
      <c r="U32" s="316">
        <f t="shared" si="0"/>
        <v>-500</v>
      </c>
      <c r="V32" s="316">
        <f t="shared" si="0"/>
        <v>-500</v>
      </c>
      <c r="W32" s="316">
        <f t="shared" si="0"/>
        <v>-500</v>
      </c>
      <c r="X32" s="316">
        <f t="shared" si="0"/>
        <v>-500</v>
      </c>
      <c r="Y32" s="316">
        <f t="shared" si="0"/>
        <v>-500</v>
      </c>
      <c r="Z32" s="316">
        <f t="shared" si="0"/>
        <v>-500</v>
      </c>
      <c r="AA32" s="316">
        <f t="shared" si="0"/>
        <v>-500</v>
      </c>
      <c r="AB32" s="316">
        <f t="shared" si="0"/>
        <v>-500</v>
      </c>
      <c r="AC32" s="316">
        <f t="shared" si="0"/>
        <v>-500</v>
      </c>
      <c r="AD32" s="316">
        <f t="shared" si="0"/>
        <v>-500</v>
      </c>
      <c r="AE32" s="316">
        <f t="shared" si="0"/>
        <v>-500</v>
      </c>
      <c r="AF32" s="316">
        <f t="shared" si="0"/>
        <v>-500</v>
      </c>
      <c r="AG32" s="316">
        <f t="shared" si="0"/>
        <v>-500</v>
      </c>
      <c r="AH32" s="96">
        <v>39</v>
      </c>
      <c r="AI32" s="337">
        <f t="shared" si="1"/>
        <v>0</v>
      </c>
      <c r="AJ32" s="337">
        <f t="shared" si="1"/>
        <v>0</v>
      </c>
      <c r="AK32" s="337">
        <f t="shared" si="1"/>
        <v>0</v>
      </c>
      <c r="AL32" s="337">
        <f t="shared" si="1"/>
        <v>0</v>
      </c>
      <c r="AM32" s="337">
        <f t="shared" si="1"/>
        <v>0</v>
      </c>
      <c r="AN32" s="337">
        <f t="shared" si="1"/>
        <v>0</v>
      </c>
      <c r="AO32" s="337">
        <f t="shared" si="1"/>
        <v>0</v>
      </c>
      <c r="AP32" s="337">
        <f t="shared" si="1"/>
        <v>0</v>
      </c>
      <c r="AQ32" s="337">
        <f t="shared" si="1"/>
        <v>0</v>
      </c>
      <c r="AR32" s="337">
        <f t="shared" si="1"/>
        <v>0</v>
      </c>
      <c r="AS32" s="337">
        <f t="shared" si="1"/>
        <v>0</v>
      </c>
      <c r="AT32" s="337">
        <f t="shared" si="1"/>
        <v>0</v>
      </c>
      <c r="AU32" s="337">
        <f t="shared" si="1"/>
        <v>0</v>
      </c>
      <c r="AV32" s="337">
        <f t="shared" si="1"/>
        <v>0</v>
      </c>
      <c r="AW32" s="337">
        <f t="shared" si="1"/>
        <v>0</v>
      </c>
    </row>
    <row r="33" spans="1:49" ht="14.25">
      <c r="A33" s="148" t="s">
        <v>166</v>
      </c>
      <c r="B33" s="105">
        <v>10</v>
      </c>
      <c r="C33" s="311"/>
      <c r="D33" s="311"/>
      <c r="E33" s="311"/>
      <c r="F33" s="311"/>
      <c r="G33" s="311"/>
      <c r="H33" s="311"/>
      <c r="I33" s="311"/>
      <c r="J33" s="311"/>
      <c r="K33" s="311"/>
      <c r="L33" s="311"/>
      <c r="M33" s="311"/>
      <c r="N33" s="311"/>
      <c r="O33" s="311"/>
      <c r="P33" s="311"/>
      <c r="Q33" s="311"/>
      <c r="R33" s="329">
        <v>40</v>
      </c>
      <c r="S33" s="316">
        <f t="shared" si="0"/>
        <v>-500</v>
      </c>
      <c r="T33" s="316">
        <f t="shared" si="0"/>
        <v>-500</v>
      </c>
      <c r="U33" s="316">
        <f t="shared" si="0"/>
        <v>-500</v>
      </c>
      <c r="V33" s="316">
        <f t="shared" si="0"/>
        <v>-500</v>
      </c>
      <c r="W33" s="316">
        <f t="shared" si="0"/>
        <v>-500</v>
      </c>
      <c r="X33" s="316">
        <f t="shared" si="0"/>
        <v>-500</v>
      </c>
      <c r="Y33" s="316">
        <f t="shared" si="0"/>
        <v>-500</v>
      </c>
      <c r="Z33" s="316">
        <f t="shared" si="0"/>
        <v>-500</v>
      </c>
      <c r="AA33" s="316">
        <f t="shared" si="0"/>
        <v>-500</v>
      </c>
      <c r="AB33" s="316">
        <f t="shared" si="0"/>
        <v>-500</v>
      </c>
      <c r="AC33" s="316">
        <f t="shared" si="0"/>
        <v>-500</v>
      </c>
      <c r="AD33" s="316">
        <f t="shared" si="0"/>
        <v>-500</v>
      </c>
      <c r="AE33" s="316">
        <f t="shared" si="0"/>
        <v>-500</v>
      </c>
      <c r="AF33" s="316">
        <f t="shared" si="0"/>
        <v>-500</v>
      </c>
      <c r="AG33" s="316">
        <f t="shared" si="0"/>
        <v>-500</v>
      </c>
      <c r="AH33" s="96">
        <v>40</v>
      </c>
      <c r="AI33" s="337">
        <f t="shared" si="1"/>
        <v>0</v>
      </c>
      <c r="AJ33" s="337">
        <f t="shared" si="1"/>
        <v>0</v>
      </c>
      <c r="AK33" s="337">
        <f t="shared" si="1"/>
        <v>0</v>
      </c>
      <c r="AL33" s="337">
        <f t="shared" si="1"/>
        <v>0</v>
      </c>
      <c r="AM33" s="337">
        <f t="shared" si="1"/>
        <v>0</v>
      </c>
      <c r="AN33" s="337">
        <f t="shared" si="1"/>
        <v>0</v>
      </c>
      <c r="AO33" s="337">
        <f t="shared" si="1"/>
        <v>0</v>
      </c>
      <c r="AP33" s="337">
        <f t="shared" si="1"/>
        <v>0</v>
      </c>
      <c r="AQ33" s="337">
        <f t="shared" si="1"/>
        <v>0</v>
      </c>
      <c r="AR33" s="337">
        <f t="shared" si="1"/>
        <v>0</v>
      </c>
      <c r="AS33" s="337">
        <f t="shared" si="1"/>
        <v>0</v>
      </c>
      <c r="AT33" s="337">
        <f t="shared" si="1"/>
        <v>0</v>
      </c>
      <c r="AU33" s="337">
        <f t="shared" si="1"/>
        <v>0</v>
      </c>
      <c r="AV33" s="337">
        <f t="shared" si="1"/>
        <v>0</v>
      </c>
      <c r="AW33" s="337">
        <f t="shared" si="1"/>
        <v>0</v>
      </c>
    </row>
    <row r="34" spans="1:49" ht="14.25">
      <c r="A34" s="148" t="s">
        <v>167</v>
      </c>
      <c r="B34" s="105">
        <v>11</v>
      </c>
      <c r="C34" s="311"/>
      <c r="D34" s="311"/>
      <c r="E34" s="311"/>
      <c r="F34" s="311"/>
      <c r="G34" s="311"/>
      <c r="H34" s="311"/>
      <c r="I34" s="311"/>
      <c r="J34" s="311"/>
      <c r="K34" s="311"/>
      <c r="L34" s="311"/>
      <c r="M34" s="311"/>
      <c r="N34" s="311"/>
      <c r="O34" s="311"/>
      <c r="P34" s="311"/>
      <c r="Q34" s="311"/>
      <c r="R34" s="329">
        <v>41</v>
      </c>
      <c r="S34" s="316">
        <f t="shared" si="0"/>
        <v>-500</v>
      </c>
      <c r="T34" s="316">
        <f t="shared" si="0"/>
        <v>-500</v>
      </c>
      <c r="U34" s="316">
        <f t="shared" si="0"/>
        <v>-500</v>
      </c>
      <c r="V34" s="316">
        <f t="shared" si="0"/>
        <v>-500</v>
      </c>
      <c r="W34" s="316">
        <f t="shared" si="0"/>
        <v>-500</v>
      </c>
      <c r="X34" s="316">
        <f t="shared" si="0"/>
        <v>-500</v>
      </c>
      <c r="Y34" s="316">
        <f t="shared" si="0"/>
        <v>-500</v>
      </c>
      <c r="Z34" s="316">
        <f t="shared" si="0"/>
        <v>-500</v>
      </c>
      <c r="AA34" s="316">
        <f t="shared" si="0"/>
        <v>-500</v>
      </c>
      <c r="AB34" s="316">
        <f t="shared" si="0"/>
        <v>-500</v>
      </c>
      <c r="AC34" s="316">
        <f t="shared" si="0"/>
        <v>-500</v>
      </c>
      <c r="AD34" s="316">
        <f t="shared" si="0"/>
        <v>-500</v>
      </c>
      <c r="AE34" s="316">
        <f t="shared" si="0"/>
        <v>-500</v>
      </c>
      <c r="AF34" s="316">
        <f t="shared" si="0"/>
        <v>-500</v>
      </c>
      <c r="AG34" s="316">
        <f t="shared" si="0"/>
        <v>-500</v>
      </c>
      <c r="AH34" s="96">
        <v>41</v>
      </c>
      <c r="AI34" s="337">
        <f t="shared" si="1"/>
        <v>0</v>
      </c>
      <c r="AJ34" s="337">
        <f t="shared" si="1"/>
        <v>0</v>
      </c>
      <c r="AK34" s="337">
        <f t="shared" si="1"/>
        <v>0</v>
      </c>
      <c r="AL34" s="337">
        <f t="shared" si="1"/>
        <v>0</v>
      </c>
      <c r="AM34" s="337">
        <f t="shared" si="1"/>
        <v>0</v>
      </c>
      <c r="AN34" s="337">
        <f t="shared" si="1"/>
        <v>0</v>
      </c>
      <c r="AO34" s="337">
        <f t="shared" si="1"/>
        <v>0</v>
      </c>
      <c r="AP34" s="337">
        <f t="shared" si="1"/>
        <v>0</v>
      </c>
      <c r="AQ34" s="337">
        <f t="shared" si="1"/>
        <v>0</v>
      </c>
      <c r="AR34" s="337">
        <f t="shared" si="1"/>
        <v>0</v>
      </c>
      <c r="AS34" s="337">
        <f t="shared" si="1"/>
        <v>0</v>
      </c>
      <c r="AT34" s="337">
        <f t="shared" si="1"/>
        <v>0</v>
      </c>
      <c r="AU34" s="337">
        <f t="shared" si="1"/>
        <v>0</v>
      </c>
      <c r="AV34" s="337">
        <f t="shared" si="1"/>
        <v>0</v>
      </c>
      <c r="AW34" s="337">
        <f t="shared" si="1"/>
        <v>0</v>
      </c>
    </row>
    <row r="35" spans="1:49" ht="14.25">
      <c r="A35" s="148" t="s">
        <v>157</v>
      </c>
      <c r="B35" s="105">
        <v>12</v>
      </c>
      <c r="C35" s="311"/>
      <c r="D35" s="311"/>
      <c r="E35" s="311"/>
      <c r="F35" s="311"/>
      <c r="G35" s="311"/>
      <c r="H35" s="311"/>
      <c r="I35" s="311"/>
      <c r="J35" s="311"/>
      <c r="K35" s="311"/>
      <c r="L35" s="311"/>
      <c r="M35" s="311"/>
      <c r="N35" s="311"/>
      <c r="O35" s="311"/>
      <c r="P35" s="311"/>
      <c r="Q35" s="311"/>
      <c r="R35" s="329">
        <v>42</v>
      </c>
      <c r="S35" s="316">
        <f t="shared" si="0"/>
        <v>-500</v>
      </c>
      <c r="T35" s="316">
        <f t="shared" si="0"/>
        <v>-500</v>
      </c>
      <c r="U35" s="316">
        <f t="shared" si="0"/>
        <v>-500</v>
      </c>
      <c r="V35" s="316">
        <f t="shared" si="0"/>
        <v>-500</v>
      </c>
      <c r="W35" s="316">
        <f t="shared" si="0"/>
        <v>-500</v>
      </c>
      <c r="X35" s="316">
        <f t="shared" si="0"/>
        <v>-500</v>
      </c>
      <c r="Y35" s="316">
        <f t="shared" si="0"/>
        <v>-500</v>
      </c>
      <c r="Z35" s="316">
        <f t="shared" si="0"/>
        <v>-500</v>
      </c>
      <c r="AA35" s="316">
        <f t="shared" si="0"/>
        <v>-500</v>
      </c>
      <c r="AB35" s="316">
        <f t="shared" si="0"/>
        <v>-500</v>
      </c>
      <c r="AC35" s="316">
        <f t="shared" si="0"/>
        <v>-500</v>
      </c>
      <c r="AD35" s="316">
        <f t="shared" si="0"/>
        <v>-500</v>
      </c>
      <c r="AE35" s="316">
        <f t="shared" si="0"/>
        <v>-500</v>
      </c>
      <c r="AF35" s="316">
        <f t="shared" si="0"/>
        <v>-500</v>
      </c>
      <c r="AG35" s="316">
        <f t="shared" si="0"/>
        <v>-500</v>
      </c>
      <c r="AH35" s="96">
        <v>42</v>
      </c>
      <c r="AI35" s="337">
        <f t="shared" si="1"/>
        <v>0</v>
      </c>
      <c r="AJ35" s="337">
        <f t="shared" si="1"/>
        <v>0</v>
      </c>
      <c r="AK35" s="337">
        <f t="shared" si="1"/>
        <v>0</v>
      </c>
      <c r="AL35" s="337">
        <f t="shared" si="1"/>
        <v>0</v>
      </c>
      <c r="AM35" s="337">
        <f t="shared" si="1"/>
        <v>0</v>
      </c>
      <c r="AN35" s="337">
        <f t="shared" si="1"/>
        <v>0</v>
      </c>
      <c r="AO35" s="337">
        <f t="shared" si="1"/>
        <v>0</v>
      </c>
      <c r="AP35" s="337">
        <f t="shared" si="1"/>
        <v>0</v>
      </c>
      <c r="AQ35" s="337">
        <f t="shared" si="1"/>
        <v>0</v>
      </c>
      <c r="AR35" s="337">
        <f t="shared" si="1"/>
        <v>0</v>
      </c>
      <c r="AS35" s="337">
        <f t="shared" si="1"/>
        <v>0</v>
      </c>
      <c r="AT35" s="337">
        <f t="shared" si="1"/>
        <v>0</v>
      </c>
      <c r="AU35" s="337">
        <f t="shared" si="1"/>
        <v>0</v>
      </c>
      <c r="AV35" s="337">
        <f t="shared" si="1"/>
        <v>0</v>
      </c>
      <c r="AW35" s="337">
        <f t="shared" si="1"/>
        <v>0</v>
      </c>
    </row>
    <row r="36" spans="1:49" ht="14.25">
      <c r="A36" s="148" t="s">
        <v>168</v>
      </c>
      <c r="B36" s="105">
        <v>13</v>
      </c>
      <c r="C36" s="311"/>
      <c r="D36" s="311"/>
      <c r="E36" s="311"/>
      <c r="F36" s="311"/>
      <c r="G36" s="311"/>
      <c r="H36" s="311"/>
      <c r="I36" s="311"/>
      <c r="J36" s="311"/>
      <c r="K36" s="311"/>
      <c r="L36" s="311"/>
      <c r="M36" s="311"/>
      <c r="N36" s="311"/>
      <c r="O36" s="311"/>
      <c r="P36" s="311"/>
      <c r="Q36" s="311"/>
      <c r="R36" s="329">
        <v>43</v>
      </c>
      <c r="S36" s="316">
        <f t="shared" si="0"/>
        <v>-500</v>
      </c>
      <c r="T36" s="316">
        <f t="shared" si="0"/>
        <v>-500</v>
      </c>
      <c r="U36" s="316">
        <f t="shared" si="0"/>
        <v>-500</v>
      </c>
      <c r="V36" s="316">
        <f t="shared" si="0"/>
        <v>-500</v>
      </c>
      <c r="W36" s="316">
        <f t="shared" si="0"/>
        <v>-500</v>
      </c>
      <c r="X36" s="316">
        <f t="shared" si="0"/>
        <v>-500</v>
      </c>
      <c r="Y36" s="316">
        <f t="shared" si="0"/>
        <v>-500</v>
      </c>
      <c r="Z36" s="316">
        <f t="shared" si="0"/>
        <v>-500</v>
      </c>
      <c r="AA36" s="316">
        <f t="shared" si="0"/>
        <v>-500</v>
      </c>
      <c r="AB36" s="316">
        <f t="shared" si="0"/>
        <v>-500</v>
      </c>
      <c r="AC36" s="316">
        <f t="shared" si="0"/>
        <v>-500</v>
      </c>
      <c r="AD36" s="316">
        <f t="shared" si="0"/>
        <v>-500</v>
      </c>
      <c r="AE36" s="316">
        <f t="shared" si="0"/>
        <v>-500</v>
      </c>
      <c r="AF36" s="316">
        <f t="shared" si="0"/>
        <v>-500</v>
      </c>
      <c r="AG36" s="316">
        <f t="shared" si="0"/>
        <v>-500</v>
      </c>
      <c r="AH36" s="96">
        <v>43</v>
      </c>
      <c r="AI36" s="337">
        <f t="shared" si="1"/>
        <v>0</v>
      </c>
      <c r="AJ36" s="337">
        <f t="shared" si="1"/>
        <v>0</v>
      </c>
      <c r="AK36" s="337">
        <f t="shared" si="1"/>
        <v>0</v>
      </c>
      <c r="AL36" s="337">
        <f t="shared" si="1"/>
        <v>0</v>
      </c>
      <c r="AM36" s="337">
        <f t="shared" si="1"/>
        <v>0</v>
      </c>
      <c r="AN36" s="337">
        <f t="shared" si="1"/>
        <v>0</v>
      </c>
      <c r="AO36" s="337">
        <f t="shared" si="1"/>
        <v>0</v>
      </c>
      <c r="AP36" s="337">
        <f t="shared" si="1"/>
        <v>0</v>
      </c>
      <c r="AQ36" s="337">
        <f t="shared" si="1"/>
        <v>0</v>
      </c>
      <c r="AR36" s="337">
        <f t="shared" si="1"/>
        <v>0</v>
      </c>
      <c r="AS36" s="337">
        <f t="shared" si="1"/>
        <v>0</v>
      </c>
      <c r="AT36" s="337">
        <f t="shared" si="1"/>
        <v>0</v>
      </c>
      <c r="AU36" s="337">
        <f t="shared" si="1"/>
        <v>0</v>
      </c>
      <c r="AV36" s="337">
        <f t="shared" si="1"/>
        <v>0</v>
      </c>
      <c r="AW36" s="337">
        <f t="shared" si="1"/>
        <v>0</v>
      </c>
    </row>
    <row r="37" spans="1:49" ht="14.25">
      <c r="A37" s="148" t="s">
        <v>151</v>
      </c>
      <c r="B37" s="105">
        <v>14</v>
      </c>
      <c r="C37" s="311"/>
      <c r="D37" s="311"/>
      <c r="E37" s="311"/>
      <c r="F37" s="311"/>
      <c r="G37" s="311"/>
      <c r="H37" s="311"/>
      <c r="I37" s="311"/>
      <c r="J37" s="311"/>
      <c r="K37" s="311"/>
      <c r="L37" s="311"/>
      <c r="M37" s="311"/>
      <c r="N37" s="311"/>
      <c r="O37" s="311"/>
      <c r="P37" s="311"/>
      <c r="Q37" s="311"/>
      <c r="R37" s="329">
        <v>44</v>
      </c>
      <c r="S37" s="316">
        <f t="shared" si="0"/>
        <v>-500</v>
      </c>
      <c r="T37" s="316">
        <f t="shared" si="0"/>
        <v>-500</v>
      </c>
      <c r="U37" s="316">
        <f t="shared" si="0"/>
        <v>-500</v>
      </c>
      <c r="V37" s="316">
        <f t="shared" si="0"/>
        <v>-500</v>
      </c>
      <c r="W37" s="316">
        <f t="shared" si="0"/>
        <v>-500</v>
      </c>
      <c r="X37" s="316">
        <f t="shared" si="0"/>
        <v>-500</v>
      </c>
      <c r="Y37" s="316">
        <f t="shared" si="0"/>
        <v>-500</v>
      </c>
      <c r="Z37" s="316">
        <f t="shared" si="0"/>
        <v>-500</v>
      </c>
      <c r="AA37" s="316">
        <f t="shared" si="0"/>
        <v>-500</v>
      </c>
      <c r="AB37" s="316">
        <f t="shared" si="0"/>
        <v>-500</v>
      </c>
      <c r="AC37" s="316">
        <f t="shared" si="0"/>
        <v>-500</v>
      </c>
      <c r="AD37" s="316">
        <f t="shared" si="0"/>
        <v>-500</v>
      </c>
      <c r="AE37" s="316">
        <f t="shared" si="0"/>
        <v>-500</v>
      </c>
      <c r="AF37" s="316">
        <f t="shared" si="0"/>
        <v>-500</v>
      </c>
      <c r="AG37" s="316">
        <f t="shared" si="0"/>
        <v>-500</v>
      </c>
      <c r="AH37" s="96">
        <v>44</v>
      </c>
      <c r="AI37" s="337">
        <f t="shared" si="1"/>
        <v>0</v>
      </c>
      <c r="AJ37" s="337">
        <f t="shared" si="1"/>
        <v>0</v>
      </c>
      <c r="AK37" s="337">
        <f t="shared" si="1"/>
        <v>0</v>
      </c>
      <c r="AL37" s="337">
        <f t="shared" si="1"/>
        <v>0</v>
      </c>
      <c r="AM37" s="337">
        <f t="shared" si="1"/>
        <v>0</v>
      </c>
      <c r="AN37" s="337">
        <f t="shared" si="1"/>
        <v>0</v>
      </c>
      <c r="AO37" s="337">
        <f t="shared" si="1"/>
        <v>0</v>
      </c>
      <c r="AP37" s="337">
        <f t="shared" si="1"/>
        <v>0</v>
      </c>
      <c r="AQ37" s="337">
        <f t="shared" si="1"/>
        <v>0</v>
      </c>
      <c r="AR37" s="337">
        <f t="shared" si="1"/>
        <v>0</v>
      </c>
      <c r="AS37" s="337">
        <f t="shared" si="1"/>
        <v>0</v>
      </c>
      <c r="AT37" s="337">
        <f t="shared" si="1"/>
        <v>0</v>
      </c>
      <c r="AU37" s="337">
        <f t="shared" si="1"/>
        <v>0</v>
      </c>
      <c r="AV37" s="337">
        <f t="shared" si="1"/>
        <v>0</v>
      </c>
      <c r="AW37" s="337">
        <f t="shared" si="1"/>
        <v>0</v>
      </c>
    </row>
    <row r="38" spans="1:49" ht="14.25">
      <c r="A38" s="148" t="s">
        <v>34</v>
      </c>
      <c r="B38" s="105">
        <v>15</v>
      </c>
      <c r="C38" s="311"/>
      <c r="D38" s="311"/>
      <c r="E38" s="311"/>
      <c r="F38" s="311"/>
      <c r="G38" s="311"/>
      <c r="H38" s="311"/>
      <c r="I38" s="311"/>
      <c r="J38" s="311"/>
      <c r="K38" s="311"/>
      <c r="L38" s="311"/>
      <c r="M38" s="311"/>
      <c r="N38" s="311"/>
      <c r="O38" s="311"/>
      <c r="P38" s="311"/>
      <c r="Q38" s="311"/>
      <c r="R38" s="329">
        <v>45</v>
      </c>
      <c r="S38" s="316">
        <f t="shared" si="0"/>
        <v>-500</v>
      </c>
      <c r="T38" s="316">
        <f t="shared" si="0"/>
        <v>-500</v>
      </c>
      <c r="U38" s="316">
        <f t="shared" si="0"/>
        <v>-500</v>
      </c>
      <c r="V38" s="316">
        <f t="shared" si="0"/>
        <v>-500</v>
      </c>
      <c r="W38" s="316">
        <f t="shared" si="0"/>
        <v>-500</v>
      </c>
      <c r="X38" s="316">
        <f t="shared" si="0"/>
        <v>-500</v>
      </c>
      <c r="Y38" s="316">
        <f t="shared" si="0"/>
        <v>-500</v>
      </c>
      <c r="Z38" s="316">
        <f t="shared" si="0"/>
        <v>-500</v>
      </c>
      <c r="AA38" s="316">
        <f t="shared" si="0"/>
        <v>-500</v>
      </c>
      <c r="AB38" s="316">
        <f t="shared" si="0"/>
        <v>-500</v>
      </c>
      <c r="AC38" s="316">
        <f t="shared" si="0"/>
        <v>-500</v>
      </c>
      <c r="AD38" s="316">
        <f t="shared" si="0"/>
        <v>-500</v>
      </c>
      <c r="AE38" s="316">
        <f t="shared" si="0"/>
        <v>-500</v>
      </c>
      <c r="AF38" s="316">
        <f t="shared" si="0"/>
        <v>-500</v>
      </c>
      <c r="AG38" s="316">
        <f t="shared" si="0"/>
        <v>-500</v>
      </c>
      <c r="AH38" s="96">
        <v>45</v>
      </c>
      <c r="AI38" s="337">
        <f t="shared" si="1"/>
        <v>0</v>
      </c>
      <c r="AJ38" s="337">
        <f t="shared" si="1"/>
        <v>0</v>
      </c>
      <c r="AK38" s="337">
        <f t="shared" si="1"/>
        <v>0</v>
      </c>
      <c r="AL38" s="337">
        <f t="shared" si="1"/>
        <v>0</v>
      </c>
      <c r="AM38" s="337">
        <f t="shared" si="1"/>
        <v>0</v>
      </c>
      <c r="AN38" s="337">
        <f t="shared" si="1"/>
        <v>0</v>
      </c>
      <c r="AO38" s="337">
        <f t="shared" si="1"/>
        <v>0</v>
      </c>
      <c r="AP38" s="337">
        <f t="shared" si="1"/>
        <v>0</v>
      </c>
      <c r="AQ38" s="337">
        <f t="shared" si="1"/>
        <v>0</v>
      </c>
      <c r="AR38" s="337">
        <f t="shared" si="1"/>
        <v>0</v>
      </c>
      <c r="AS38" s="337">
        <f t="shared" si="1"/>
        <v>0</v>
      </c>
      <c r="AT38" s="337">
        <f t="shared" si="1"/>
        <v>0</v>
      </c>
      <c r="AU38" s="337">
        <f t="shared" si="1"/>
        <v>0</v>
      </c>
      <c r="AV38" s="337">
        <f t="shared" si="1"/>
        <v>0</v>
      </c>
      <c r="AW38" s="337">
        <f t="shared" si="1"/>
        <v>0</v>
      </c>
    </row>
    <row r="39" spans="1:49" ht="14.25">
      <c r="A39" s="148" t="s">
        <v>117</v>
      </c>
      <c r="B39" s="105">
        <v>16</v>
      </c>
      <c r="C39" s="311"/>
      <c r="D39" s="311"/>
      <c r="E39" s="311"/>
      <c r="F39" s="311"/>
      <c r="G39" s="311"/>
      <c r="H39" s="311"/>
      <c r="I39" s="311"/>
      <c r="J39" s="311"/>
      <c r="K39" s="311"/>
      <c r="L39" s="311"/>
      <c r="M39" s="311"/>
      <c r="N39" s="311"/>
      <c r="O39" s="311"/>
      <c r="P39" s="311"/>
      <c r="Q39" s="311"/>
      <c r="R39" s="329">
        <v>46</v>
      </c>
      <c r="S39" s="316">
        <f t="shared" si="0"/>
        <v>-500</v>
      </c>
      <c r="T39" s="316">
        <f t="shared" si="0"/>
        <v>-500</v>
      </c>
      <c r="U39" s="316">
        <f t="shared" si="0"/>
        <v>-500</v>
      </c>
      <c r="V39" s="316">
        <f t="shared" si="0"/>
        <v>-500</v>
      </c>
      <c r="W39" s="316">
        <f t="shared" si="0"/>
        <v>-500</v>
      </c>
      <c r="X39" s="316">
        <f t="shared" si="0"/>
        <v>-500</v>
      </c>
      <c r="Y39" s="316">
        <f t="shared" si="0"/>
        <v>-500</v>
      </c>
      <c r="Z39" s="316">
        <f t="shared" si="0"/>
        <v>-500</v>
      </c>
      <c r="AA39" s="316">
        <f t="shared" si="0"/>
        <v>-500</v>
      </c>
      <c r="AB39" s="316">
        <f t="shared" si="0"/>
        <v>-500</v>
      </c>
      <c r="AC39" s="316">
        <f t="shared" si="0"/>
        <v>-500</v>
      </c>
      <c r="AD39" s="316">
        <f t="shared" si="0"/>
        <v>-500</v>
      </c>
      <c r="AE39" s="316">
        <f t="shared" si="0"/>
        <v>-500</v>
      </c>
      <c r="AF39" s="316">
        <f t="shared" si="0"/>
        <v>-500</v>
      </c>
      <c r="AG39" s="316">
        <f t="shared" si="0"/>
        <v>-500</v>
      </c>
      <c r="AH39" s="96">
        <v>46</v>
      </c>
      <c r="AI39" s="337">
        <f t="shared" si="1"/>
        <v>0</v>
      </c>
      <c r="AJ39" s="337">
        <f t="shared" si="1"/>
        <v>0</v>
      </c>
      <c r="AK39" s="337">
        <f t="shared" si="1"/>
        <v>0</v>
      </c>
      <c r="AL39" s="337">
        <f t="shared" si="1"/>
        <v>0</v>
      </c>
      <c r="AM39" s="337">
        <f t="shared" si="1"/>
        <v>0</v>
      </c>
      <c r="AN39" s="337">
        <f t="shared" si="1"/>
        <v>0</v>
      </c>
      <c r="AO39" s="337">
        <f t="shared" si="1"/>
        <v>0</v>
      </c>
      <c r="AP39" s="337">
        <f t="shared" si="1"/>
        <v>0</v>
      </c>
      <c r="AQ39" s="337">
        <f t="shared" si="1"/>
        <v>0</v>
      </c>
      <c r="AR39" s="337">
        <f t="shared" si="1"/>
        <v>0</v>
      </c>
      <c r="AS39" s="337">
        <f t="shared" si="1"/>
        <v>0</v>
      </c>
      <c r="AT39" s="337">
        <f t="shared" si="1"/>
        <v>0</v>
      </c>
      <c r="AU39" s="337">
        <f t="shared" si="1"/>
        <v>0</v>
      </c>
      <c r="AV39" s="337">
        <f t="shared" si="1"/>
        <v>0</v>
      </c>
      <c r="AW39" s="337">
        <f t="shared" si="1"/>
        <v>0</v>
      </c>
    </row>
    <row r="40" spans="1:49" ht="14.25">
      <c r="A40" s="148" t="s">
        <v>170</v>
      </c>
      <c r="B40" s="105">
        <v>17</v>
      </c>
      <c r="C40" s="311"/>
      <c r="D40" s="311"/>
      <c r="E40" s="311"/>
      <c r="F40" s="311"/>
      <c r="G40" s="311"/>
      <c r="H40" s="311"/>
      <c r="I40" s="311"/>
      <c r="J40" s="311"/>
      <c r="K40" s="311"/>
      <c r="L40" s="311"/>
      <c r="M40" s="311"/>
      <c r="N40" s="311"/>
      <c r="O40" s="311"/>
      <c r="P40" s="311"/>
      <c r="Q40" s="311"/>
      <c r="R40" s="329">
        <v>47</v>
      </c>
      <c r="S40" s="316">
        <f t="shared" si="0"/>
        <v>-500</v>
      </c>
      <c r="T40" s="316">
        <f t="shared" si="0"/>
        <v>-500</v>
      </c>
      <c r="U40" s="316">
        <f t="shared" si="0"/>
        <v>-500</v>
      </c>
      <c r="V40" s="316">
        <f t="shared" si="0"/>
        <v>-500</v>
      </c>
      <c r="W40" s="316">
        <f t="shared" si="0"/>
        <v>-500</v>
      </c>
      <c r="X40" s="316">
        <f t="shared" si="0"/>
        <v>-500</v>
      </c>
      <c r="Y40" s="316">
        <f t="shared" si="0"/>
        <v>-500</v>
      </c>
      <c r="Z40" s="316">
        <f t="shared" si="0"/>
        <v>-500</v>
      </c>
      <c r="AA40" s="316">
        <f t="shared" si="0"/>
        <v>-500</v>
      </c>
      <c r="AB40" s="316">
        <f t="shared" si="0"/>
        <v>-500</v>
      </c>
      <c r="AC40" s="316">
        <f t="shared" si="0"/>
        <v>-500</v>
      </c>
      <c r="AD40" s="316">
        <f t="shared" si="0"/>
        <v>-500</v>
      </c>
      <c r="AE40" s="316">
        <f t="shared" si="0"/>
        <v>-500</v>
      </c>
      <c r="AF40" s="316">
        <f t="shared" si="0"/>
        <v>-500</v>
      </c>
      <c r="AG40" s="316">
        <f t="shared" si="0"/>
        <v>-500</v>
      </c>
      <c r="AH40" s="96">
        <v>47</v>
      </c>
      <c r="AI40" s="337">
        <f t="shared" si="1"/>
        <v>0</v>
      </c>
      <c r="AJ40" s="337">
        <f t="shared" si="1"/>
        <v>0</v>
      </c>
      <c r="AK40" s="337">
        <f t="shared" si="1"/>
        <v>0</v>
      </c>
      <c r="AL40" s="337">
        <f t="shared" si="1"/>
        <v>0</v>
      </c>
      <c r="AM40" s="337">
        <f t="shared" si="1"/>
        <v>0</v>
      </c>
      <c r="AN40" s="337">
        <f t="shared" si="1"/>
        <v>0</v>
      </c>
      <c r="AO40" s="337">
        <f t="shared" si="1"/>
        <v>0</v>
      </c>
      <c r="AP40" s="337">
        <f t="shared" si="1"/>
        <v>0</v>
      </c>
      <c r="AQ40" s="337">
        <f t="shared" si="1"/>
        <v>0</v>
      </c>
      <c r="AR40" s="337">
        <f t="shared" si="1"/>
        <v>0</v>
      </c>
      <c r="AS40" s="337">
        <f t="shared" si="1"/>
        <v>0</v>
      </c>
      <c r="AT40" s="337">
        <f t="shared" si="1"/>
        <v>0</v>
      </c>
      <c r="AU40" s="337">
        <f t="shared" si="1"/>
        <v>0</v>
      </c>
      <c r="AV40" s="337">
        <f t="shared" si="1"/>
        <v>0</v>
      </c>
      <c r="AW40" s="337">
        <f t="shared" si="1"/>
        <v>0</v>
      </c>
    </row>
    <row r="41" spans="1:49" ht="14.25">
      <c r="A41" s="148" t="s">
        <v>171</v>
      </c>
      <c r="B41" s="105">
        <v>18</v>
      </c>
      <c r="C41" s="311"/>
      <c r="D41" s="311"/>
      <c r="E41" s="311"/>
      <c r="F41" s="311"/>
      <c r="G41" s="311"/>
      <c r="H41" s="311"/>
      <c r="I41" s="311"/>
      <c r="J41" s="311"/>
      <c r="K41" s="311"/>
      <c r="L41" s="311"/>
      <c r="M41" s="311"/>
      <c r="N41" s="311"/>
      <c r="O41" s="311"/>
      <c r="P41" s="311"/>
      <c r="Q41" s="311"/>
      <c r="R41" s="329">
        <v>48</v>
      </c>
      <c r="S41" s="316">
        <f t="shared" si="0"/>
        <v>-500</v>
      </c>
      <c r="T41" s="316">
        <f t="shared" si="0"/>
        <v>-500</v>
      </c>
      <c r="U41" s="316">
        <f t="shared" si="0"/>
        <v>-500</v>
      </c>
      <c r="V41" s="316">
        <f t="shared" si="0"/>
        <v>-500</v>
      </c>
      <c r="W41" s="316">
        <f t="shared" si="0"/>
        <v>-500</v>
      </c>
      <c r="X41" s="316">
        <f t="shared" si="0"/>
        <v>-500</v>
      </c>
      <c r="Y41" s="316">
        <f t="shared" si="0"/>
        <v>-500</v>
      </c>
      <c r="Z41" s="316">
        <f t="shared" si="0"/>
        <v>-500</v>
      </c>
      <c r="AA41" s="316">
        <f t="shared" si="0"/>
        <v>-500</v>
      </c>
      <c r="AB41" s="316">
        <f t="shared" si="0"/>
        <v>-500</v>
      </c>
      <c r="AC41" s="316">
        <f t="shared" si="0"/>
        <v>-500</v>
      </c>
      <c r="AD41" s="316">
        <f t="shared" si="0"/>
        <v>-500</v>
      </c>
      <c r="AE41" s="316">
        <f t="shared" si="0"/>
        <v>-500</v>
      </c>
      <c r="AF41" s="316">
        <f t="shared" si="0"/>
        <v>-500</v>
      </c>
      <c r="AG41" s="316">
        <f t="shared" si="0"/>
        <v>-500</v>
      </c>
      <c r="AH41" s="96">
        <v>48</v>
      </c>
      <c r="AI41" s="337">
        <f t="shared" si="1"/>
        <v>0</v>
      </c>
      <c r="AJ41" s="337">
        <f t="shared" si="1"/>
        <v>0</v>
      </c>
      <c r="AK41" s="337">
        <f t="shared" si="1"/>
        <v>0</v>
      </c>
      <c r="AL41" s="337">
        <f t="shared" si="1"/>
        <v>0</v>
      </c>
      <c r="AM41" s="337">
        <f t="shared" si="1"/>
        <v>0</v>
      </c>
      <c r="AN41" s="337">
        <f t="shared" si="1"/>
        <v>0</v>
      </c>
      <c r="AO41" s="337">
        <f t="shared" si="1"/>
        <v>0</v>
      </c>
      <c r="AP41" s="337">
        <f t="shared" si="1"/>
        <v>0</v>
      </c>
      <c r="AQ41" s="337">
        <f t="shared" si="1"/>
        <v>0</v>
      </c>
      <c r="AR41" s="337">
        <f t="shared" si="1"/>
        <v>0</v>
      </c>
      <c r="AS41" s="337">
        <f t="shared" si="1"/>
        <v>0</v>
      </c>
      <c r="AT41" s="337">
        <f t="shared" si="1"/>
        <v>0</v>
      </c>
      <c r="AU41" s="337">
        <f t="shared" si="1"/>
        <v>0</v>
      </c>
      <c r="AV41" s="337">
        <f t="shared" si="1"/>
        <v>0</v>
      </c>
      <c r="AW41" s="337">
        <f t="shared" si="1"/>
        <v>0</v>
      </c>
    </row>
    <row r="48" spans="1:49">
      <c r="M48" s="148"/>
    </row>
    <row r="49" spans="13:13">
      <c r="M49" s="148"/>
    </row>
    <row r="50" spans="13:13">
      <c r="M50" s="148"/>
    </row>
    <row r="51" spans="13:13">
      <c r="M51" s="148"/>
    </row>
    <row r="52" spans="13:13">
      <c r="M52" s="148"/>
    </row>
    <row r="53" spans="13:13">
      <c r="M53" s="148"/>
    </row>
    <row r="54" spans="13:13">
      <c r="M54" s="148"/>
    </row>
    <row r="55" spans="13:13">
      <c r="M55" s="148"/>
    </row>
    <row r="56" spans="13:13">
      <c r="M56" s="148"/>
    </row>
    <row r="57" spans="13:13">
      <c r="M57" s="148"/>
    </row>
    <row r="58" spans="13:13">
      <c r="M58" s="148"/>
    </row>
    <row r="59" spans="13:13">
      <c r="M59" s="148"/>
    </row>
    <row r="60" spans="13:13">
      <c r="M60" s="148"/>
    </row>
    <row r="61" spans="13:13">
      <c r="M61" s="148"/>
    </row>
    <row r="62" spans="13:13">
      <c r="M62" s="148"/>
    </row>
    <row r="63" spans="13:13">
      <c r="M63" s="148"/>
    </row>
    <row r="64" spans="13:13">
      <c r="M64" s="148"/>
    </row>
    <row r="65" spans="13:13">
      <c r="M65" s="148"/>
    </row>
  </sheetData>
  <mergeCells count="17">
    <mergeCell ref="G11:H11"/>
    <mergeCell ref="G13:H13"/>
    <mergeCell ref="C18:E18"/>
    <mergeCell ref="F18:H18"/>
    <mergeCell ref="I18:K18"/>
    <mergeCell ref="L18:N18"/>
    <mergeCell ref="O18:Q18"/>
    <mergeCell ref="S21:U21"/>
    <mergeCell ref="V21:X21"/>
    <mergeCell ref="Y21:AA21"/>
    <mergeCell ref="AB21:AD21"/>
    <mergeCell ref="AE21:AG21"/>
    <mergeCell ref="AI21:AK21"/>
    <mergeCell ref="AL21:AN21"/>
    <mergeCell ref="AO21:AQ21"/>
    <mergeCell ref="AR21:AT21"/>
    <mergeCell ref="AU21:AW21"/>
  </mergeCells>
  <phoneticPr fontId="2"/>
  <pageMargins left="0.7" right="0.7" top="0.75" bottom="0.75" header="0.3" footer="0.3"/>
  <pageSetup paperSize="9" scale="28"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2:AW45"/>
  <sheetViews>
    <sheetView topLeftCell="A5" workbookViewId="0">
      <selection activeCell="B2" sqref="B2"/>
    </sheetView>
  </sheetViews>
  <sheetFormatPr defaultRowHeight="13.5"/>
  <cols>
    <col min="1" max="3" width="9" style="96" customWidth="1"/>
    <col min="4" max="4" width="9.625" style="96" customWidth="1"/>
    <col min="5" max="6" width="9" style="96" customWidth="1"/>
    <col min="7" max="7" width="8.375" style="96" customWidth="1"/>
    <col min="8" max="9" width="9" style="96" customWidth="1"/>
    <col min="10" max="10" width="8.625" style="96" customWidth="1"/>
    <col min="11" max="11" width="9" style="96" customWidth="1"/>
    <col min="12" max="12" width="8.875" style="96" customWidth="1"/>
    <col min="13" max="13" width="9" style="96" customWidth="1"/>
    <col min="14" max="14" width="11.75" style="96" customWidth="1"/>
    <col min="15" max="15" width="9.125" style="96" customWidth="1"/>
    <col min="16" max="16384" width="9" style="96" customWidth="1"/>
  </cols>
  <sheetData>
    <row r="1" spans="1:18" ht="14.25"/>
    <row r="2" spans="1:18" ht="14.25">
      <c r="A2" s="97" t="s">
        <v>35</v>
      </c>
      <c r="B2" s="100"/>
      <c r="C2" s="100"/>
      <c r="D2" s="100"/>
      <c r="E2" s="195"/>
      <c r="F2" s="100" t="s">
        <v>173</v>
      </c>
      <c r="G2" s="100"/>
      <c r="H2" s="100"/>
      <c r="I2" s="100"/>
      <c r="J2" s="100"/>
      <c r="K2" s="100"/>
      <c r="L2" s="100"/>
      <c r="M2" s="100"/>
      <c r="N2" s="145"/>
    </row>
    <row r="3" spans="1:18">
      <c r="A3" s="98"/>
      <c r="F3" s="167" t="s">
        <v>142</v>
      </c>
      <c r="N3" s="146"/>
    </row>
    <row r="4" spans="1:18">
      <c r="A4" s="99"/>
      <c r="B4" s="101"/>
      <c r="C4" s="101" t="s">
        <v>115</v>
      </c>
      <c r="D4" s="101"/>
      <c r="E4" s="101" t="s">
        <v>175</v>
      </c>
      <c r="F4" s="101"/>
      <c r="G4" s="101"/>
      <c r="H4" s="101"/>
      <c r="I4" s="101"/>
      <c r="J4" s="101"/>
      <c r="K4" s="101"/>
      <c r="L4" s="101"/>
      <c r="M4" s="101"/>
      <c r="N4" s="147"/>
    </row>
    <row r="6" spans="1:18" ht="14.25">
      <c r="K6" s="96" t="s">
        <v>66</v>
      </c>
      <c r="R6" s="103">
        <f>IF(P6=0,O15,IF($G$17=2,6,IF($G$17=5,7.5,IF($G$17=7,8.5))))</f>
        <v>0</v>
      </c>
    </row>
    <row r="7" spans="1:18" ht="14.25">
      <c r="A7" s="301" t="s">
        <v>57</v>
      </c>
      <c r="B7" s="215">
        <v>7</v>
      </c>
      <c r="E7" s="103" t="s">
        <v>176</v>
      </c>
      <c r="G7" s="103" t="s">
        <v>177</v>
      </c>
      <c r="H7" s="103" t="s">
        <v>178</v>
      </c>
      <c r="I7" s="57" t="s">
        <v>179</v>
      </c>
      <c r="J7" s="103" t="s">
        <v>101</v>
      </c>
      <c r="K7" s="348" t="s">
        <v>125</v>
      </c>
      <c r="L7" s="348" t="s">
        <v>126</v>
      </c>
      <c r="M7" s="352" t="s">
        <v>127</v>
      </c>
      <c r="N7" s="324" t="s">
        <v>180</v>
      </c>
    </row>
    <row r="8" spans="1:18" ht="14.25">
      <c r="E8" s="103">
        <f>COUNTIF(Sheet1!G14,"加入しない")</f>
        <v>0</v>
      </c>
      <c r="F8" s="96" t="s">
        <v>2</v>
      </c>
      <c r="G8" s="103">
        <f>IF(E8=1,0,IF(Sheet1!B14="",0,1))</f>
        <v>0</v>
      </c>
      <c r="H8" s="103">
        <f>IF(OR(Sheet1!B14="未就学児",Sheet1!B14="小学生～高校生"),1,0)</f>
        <v>0</v>
      </c>
      <c r="I8" s="103" t="b">
        <f>'④所得割'!C24</f>
        <v>0</v>
      </c>
      <c r="J8" s="103" t="e">
        <f>IF(AND($G$8=1,$H$8=0),$G$17,IF(AND($H$8=1,$G$17=0),5,IF(AND($G$17=2,$H$8=1),6,IF(AND($G$17=5,$H$8=1),7.5,IF(AND($G$17=7,$H$8=1),8.5)))))</f>
        <v>#N/A</v>
      </c>
      <c r="K8" s="349">
        <f t="shared" ref="K8:K14" si="0">IF(G8=0,0,VLOOKUP(J8,$A$11:$D$17,2,FALSE))</f>
        <v>0</v>
      </c>
      <c r="L8" s="349">
        <f t="shared" ref="L8:L14" si="1">IF($G8=0,0,VLOOKUP(J8,$A$11:$D$17,3,FALSE))</f>
        <v>0</v>
      </c>
      <c r="M8" s="349">
        <f t="shared" ref="M8:M14" si="2">IF($G8=0,0,INT(VLOOKUP(J8,$A$11:$D$17,4,FALSE)/12*I8))</f>
        <v>0</v>
      </c>
      <c r="N8" s="354">
        <f t="shared" ref="N8:N15" si="3">SUM(K8:M8)</f>
        <v>0</v>
      </c>
    </row>
    <row r="9" spans="1:18" ht="14.25">
      <c r="A9" s="302" t="s">
        <v>93</v>
      </c>
      <c r="B9" s="307">
        <f>B7</f>
        <v>7</v>
      </c>
      <c r="F9" s="96" t="s">
        <v>33</v>
      </c>
      <c r="G9" s="103">
        <f>IF(Sheet1!B15="",0,1)</f>
        <v>0</v>
      </c>
      <c r="H9" s="103">
        <f>IF(OR(Sheet1!B15="未就学児",Sheet1!B15="小学生～高校生"),1,0)</f>
        <v>0</v>
      </c>
      <c r="I9" s="103">
        <f>'④所得割'!C25</f>
        <v>0</v>
      </c>
      <c r="J9" s="103" t="e">
        <f>IF(AND($G$9=1,$H$9=0),$G$17,IF(AND($H$9=1,$G$17=0),5,IF(AND($G$17=2,$H$9=1),6,IF(AND($G$17=5,$H$9=1),7.5,IF(AND($G$17=7,$H$9=1),8.5)))))</f>
        <v>#N/A</v>
      </c>
      <c r="K9" s="349">
        <f t="shared" si="0"/>
        <v>0</v>
      </c>
      <c r="L9" s="349">
        <f t="shared" si="1"/>
        <v>0</v>
      </c>
      <c r="M9" s="349">
        <f t="shared" si="2"/>
        <v>0</v>
      </c>
      <c r="N9" s="354">
        <f t="shared" si="3"/>
        <v>0</v>
      </c>
    </row>
    <row r="10" spans="1:18">
      <c r="A10" s="303" t="s">
        <v>101</v>
      </c>
      <c r="B10" s="308" t="s">
        <v>16</v>
      </c>
      <c r="C10" s="308" t="s">
        <v>126</v>
      </c>
      <c r="D10" s="313" t="s">
        <v>127</v>
      </c>
      <c r="F10" s="96" t="s">
        <v>37</v>
      </c>
      <c r="G10" s="103">
        <f>IF(Sheet1!B16="",0,1)</f>
        <v>0</v>
      </c>
      <c r="H10" s="103">
        <f>IF(OR(Sheet1!B16="未就学児",Sheet1!B16="小学生～高校生"),1,0)</f>
        <v>0</v>
      </c>
      <c r="I10" s="103">
        <f>'④所得割'!C26</f>
        <v>0</v>
      </c>
      <c r="J10" s="103" t="e">
        <f>IF(AND($G$10=1,$H$10=0),$G$17,IF(AND($H$10=1,$G$17=0),5,IF(AND($G$17=2,$H$10=1),6,IF(AND($G$17=5,$H$10=1),7.5,IF(AND($G$17=7,$H$10=1),8.5)))))</f>
        <v>#N/A</v>
      </c>
      <c r="K10" s="349">
        <f t="shared" si="0"/>
        <v>0</v>
      </c>
      <c r="L10" s="349">
        <f t="shared" si="1"/>
        <v>0</v>
      </c>
      <c r="M10" s="349">
        <f t="shared" si="2"/>
        <v>0</v>
      </c>
      <c r="N10" s="354">
        <f t="shared" si="3"/>
        <v>0</v>
      </c>
    </row>
    <row r="11" spans="1:18">
      <c r="A11" s="304">
        <v>0</v>
      </c>
      <c r="B11" s="103">
        <f>IF($B$7&lt;30,VLOOKUP($B$9,$B$23:$Q$44,2,FALSE),IF($K$17=1,VLOOKUP($B$9,$S$26:$AG$44,2,FALSE),IF($K$19=1,VLOOKUP($B$9,$AI$26:$AW$44,2,FALSE),VLOOKUP($B$9,$B$23:$Q$44,2,FALSE))))</f>
        <v>28700</v>
      </c>
      <c r="C11" s="103">
        <f>IF($B$7&lt;30,VLOOKUP($B$9,$B$23:$Q$44,3,FALSE),IF($K$17=1,VLOOKUP($B$9,$S$26:$AG$44,3,FALSE),IF($K$19=1,VLOOKUP($B$9,$AI$26:$AW$44,3,FALSE),VLOOKUP($B$9,$B$23:$Q$44,3,FALSE))))</f>
        <v>9000</v>
      </c>
      <c r="D11" s="314">
        <f>IF($B$7&lt;30,VLOOKUP($B$9,$B$23:$Q$44,4,FALSE),IF($K$17=1,VLOOKUP($B$9,$S$26:$AG$44,4,FALSE),IF($K$19=1,VLOOKUP($B$9,$AI$26:$AW$44,4,FALSE),VLOOKUP($B$9,$B$23:$Q$44,4,FALSE))))</f>
        <v>8540</v>
      </c>
      <c r="F11" s="96" t="s">
        <v>38</v>
      </c>
      <c r="G11" s="103">
        <f>IF(Sheet1!B17="",0,1)</f>
        <v>0</v>
      </c>
      <c r="H11" s="103">
        <f>IF(OR(Sheet1!B17="未就学児",Sheet1!B17="小学生～高校生"),1,0)</f>
        <v>0</v>
      </c>
      <c r="I11" s="103">
        <f>'④所得割'!C27</f>
        <v>0</v>
      </c>
      <c r="J11" s="103" t="e">
        <f>IF(AND($G$11=1,$H$11=0),$G$17,IF(AND($H$11=1,$G$17=0),5,IF(AND($G$17=2,$H$11=1),6,IF(AND($G$17=5,$H$11=1),7.5,IF(AND($G$17=7,$H$11=1),8.5)))))</f>
        <v>#N/A</v>
      </c>
      <c r="K11" s="349">
        <f t="shared" si="0"/>
        <v>0</v>
      </c>
      <c r="L11" s="349">
        <f t="shared" si="1"/>
        <v>0</v>
      </c>
      <c r="M11" s="349">
        <f t="shared" si="2"/>
        <v>0</v>
      </c>
      <c r="N11" s="354">
        <f t="shared" si="3"/>
        <v>0</v>
      </c>
    </row>
    <row r="12" spans="1:18">
      <c r="A12" s="304">
        <v>7</v>
      </c>
      <c r="B12" s="103">
        <f>IF($B$7&lt;30,VLOOKUP($B$9,$B$23:$Q$44,5,FALSE),IF($K$17=1,VLOOKUP($B$9,$S$26:$AG$44,5,FALSE),IF($K$19=1,VLOOKUP($B$9,$AI$26:$AW$44,5,FALSE),VLOOKUP($B$9,$B$23:$Q$44,5,FALSE))))</f>
        <v>8610</v>
      </c>
      <c r="C12" s="103">
        <f>IF($B$7&lt;30,VLOOKUP($B$9,$B$23:$Q$44,6,FALSE),IF($K$17=1,VLOOKUP($B$9,$S$26:$AG$44,6,FALSE),IF($K$19=1,VLOOKUP($B$9,$AI$26:$AW$44,6,FALSE),VLOOKUP($B$9,$B$23:$Q$44,6,FALSE))))</f>
        <v>2700</v>
      </c>
      <c r="D12" s="314">
        <f>IF($B$7&lt;30,VLOOKUP($B$9,$B$23:$Q$44,7,FALSE),IF($K$17=1,VLOOKUP($B$9,$S$26:$AG$44,7,FALSE),IF($K$19=1,VLOOKUP($B$9,$AI$26:$AW$44,7,FALSE),VLOOKUP($B$9,$B$23:$Q$44,7,FALSE))))</f>
        <v>2560</v>
      </c>
      <c r="F12" s="96" t="s">
        <v>41</v>
      </c>
      <c r="G12" s="103">
        <f>IF(Sheet1!B18="",0,1)</f>
        <v>0</v>
      </c>
      <c r="H12" s="103">
        <f>IF(OR(Sheet1!B18="未就学児",Sheet1!B18="小学生～高校生"),1,0)</f>
        <v>0</v>
      </c>
      <c r="I12" s="103">
        <f>'④所得割'!C28</f>
        <v>0</v>
      </c>
      <c r="J12" s="103" t="e">
        <f>IF(AND($G$12=1,$H$12=0),$G$17,IF(AND($H$12=1,$G$17=0),5,IF(AND($G$17=2,$H$12=1),6,IF(AND($G$17=5,$H$12=1),7.5,IF(AND($G$17=7,$H$12=1),8.5)))))</f>
        <v>#N/A</v>
      </c>
      <c r="K12" s="349">
        <f t="shared" si="0"/>
        <v>0</v>
      </c>
      <c r="L12" s="349">
        <f t="shared" si="1"/>
        <v>0</v>
      </c>
      <c r="M12" s="349">
        <f t="shared" si="2"/>
        <v>0</v>
      </c>
      <c r="N12" s="354">
        <f t="shared" si="3"/>
        <v>0</v>
      </c>
    </row>
    <row r="13" spans="1:18">
      <c r="A13" s="304">
        <v>5</v>
      </c>
      <c r="B13" s="103">
        <f>IF($B$7&lt;30,VLOOKUP($B$9,$B$23:$Q$44,8,FALSE),IF($K$17=1,VLOOKUP($B$9,$S$26:$AG$44,8,FALSE),IF($K$19=1,VLOOKUP($B$9,$AI$26:$AW$44,8,FALSE),VLOOKUP($B$9,$B$23:$Q$44,8,FALSE))))</f>
        <v>14350</v>
      </c>
      <c r="C13" s="103">
        <f>IF($B$7&lt;30,VLOOKUP($B$9,$B$23:$Q$44,9,FALSE),IF($K$17=1,VLOOKUP($B$9,$S$26:$AG$44,9,FALSE),IF($K$19=1,VLOOKUP($B$9,$AI$26:$AW$44,9,FALSE),VLOOKUP($B$9,$B$23:$Q$44,9,FALSE))))</f>
        <v>4500</v>
      </c>
      <c r="D13" s="314">
        <f>IF($B$7&lt;30,VLOOKUP($B$9,$B$23:$Q$44,10,FALSE),IF($K$17=1,VLOOKUP($B$9,$S$26:$AG$44,10,FALSE),IF($K$19=1,VLOOKUP($B$9,$AI$26:$AW$44,10,FALSE),VLOOKUP($B$9,$B$23:$Q$44,10,FALSE))))</f>
        <v>4270</v>
      </c>
      <c r="F13" s="96" t="s">
        <v>43</v>
      </c>
      <c r="G13" s="103">
        <f>IF(Sheet1!B19="",0,1)</f>
        <v>0</v>
      </c>
      <c r="H13" s="103">
        <f>IF(OR(Sheet1!B19="未就学児",Sheet1!B19="小学生～高校生"),1,0)</f>
        <v>0</v>
      </c>
      <c r="I13" s="103">
        <f>'④所得割'!C29</f>
        <v>0</v>
      </c>
      <c r="J13" s="103" t="e">
        <f>IF(AND($G$13=1,$H$13=0),$G$17,IF(AND($H$13=1,$G$17=0),5,IF(AND($G$17=2,$H$13=1),6,IF(AND($G$17=5,$H$13=1),7.5,IF(AND($G$17=7,$H$13=1),8.5)))))</f>
        <v>#N/A</v>
      </c>
      <c r="K13" s="349">
        <f t="shared" si="0"/>
        <v>0</v>
      </c>
      <c r="L13" s="349">
        <f t="shared" si="1"/>
        <v>0</v>
      </c>
      <c r="M13" s="349">
        <f t="shared" si="2"/>
        <v>0</v>
      </c>
      <c r="N13" s="354">
        <f t="shared" si="3"/>
        <v>0</v>
      </c>
    </row>
    <row r="14" spans="1:18" ht="14.25">
      <c r="A14" s="305">
        <v>2</v>
      </c>
      <c r="B14" s="309">
        <f>IF($B$7&lt;30,VLOOKUP($B$9,$B$23:$Q$44,11,FALSE),IF($K$17=1,VLOOKUP($B$9,$S$26:$AG$44,11,FALSE),IF($K$19=1,VLOOKUP($B$9,$AI$26:$AW$44,11,FALSE),VLOOKUP($B$9,$B$23:$Q$44,11,FALSE))))</f>
        <v>22960</v>
      </c>
      <c r="C14" s="309">
        <f>IF($B$7&lt;30,VLOOKUP($B$9,$B$23:$Q$44,12,FALSE),IF($K$17=1,VLOOKUP($B$9,$S$26:$AG$44,12,FALSE),IF($K$19=1,VLOOKUP($B$9,$AI$26:$AW$44,12,FALSE),VLOOKUP($B$9,$B$23:$Q$44,12,FALSE))))</f>
        <v>7200</v>
      </c>
      <c r="D14" s="315">
        <f>IF($B$7&lt;30,VLOOKUP($B$9,$B$23:$Q$44,13,FALSE),IF($K$17=1,VLOOKUP($B$9,$S$26:$AG$44,13,FALSE),IF($K$19=1,VLOOKUP($B$9,$AI$26:$AW$44,13,FALSE),VLOOKUP($B$9,$B$23:$Q$44,13,FALSE))))</f>
        <v>6830</v>
      </c>
      <c r="F14" s="96" t="s">
        <v>228</v>
      </c>
      <c r="G14" s="103">
        <f>IF(Sheet1!B20="",0,1)</f>
        <v>0</v>
      </c>
      <c r="H14" s="103">
        <f>IF(OR(Sheet1!B20="未就学児",Sheet1!B20="小学生～高校生"),1,0)</f>
        <v>0</v>
      </c>
      <c r="I14" s="103">
        <f>'④所得割'!C30</f>
        <v>0</v>
      </c>
      <c r="J14" s="103" t="e">
        <f>IF(AND($G$12=1,$H$12=0),$G$17,IF(AND($H$12=1,$G$17=0),5,IF(AND($G$17=2,$H$12=1),6,IF(AND($G$17=5,$H$12=1),7.5,IF(AND($G$17=7,$H$12=1),8.5)))))</f>
        <v>#N/A</v>
      </c>
      <c r="K14" s="349">
        <f t="shared" si="0"/>
        <v>0</v>
      </c>
      <c r="L14" s="349">
        <f t="shared" si="1"/>
        <v>0</v>
      </c>
      <c r="M14" s="349">
        <f t="shared" si="2"/>
        <v>0</v>
      </c>
      <c r="N14" s="354">
        <f t="shared" si="3"/>
        <v>0</v>
      </c>
    </row>
    <row r="15" spans="1:18" ht="15">
      <c r="A15" s="308">
        <v>6</v>
      </c>
      <c r="B15" s="308">
        <f>ROUNDDOWN(B14/2,-1)</f>
        <v>11480</v>
      </c>
      <c r="C15" s="308">
        <f>ROUNDDOWN(C14/2,-1)</f>
        <v>3600</v>
      </c>
      <c r="D15" s="308"/>
      <c r="K15" s="350">
        <f>SUM(K8:K14)</f>
        <v>0</v>
      </c>
      <c r="L15" s="351">
        <f>SUM(L8:L14)</f>
        <v>0</v>
      </c>
      <c r="M15" s="353">
        <f>SUM(M8:M14)</f>
        <v>0</v>
      </c>
      <c r="N15" s="355">
        <f t="shared" si="3"/>
        <v>0</v>
      </c>
    </row>
    <row r="16" spans="1:18">
      <c r="A16" s="103">
        <v>7.5</v>
      </c>
      <c r="B16" s="103">
        <f>ROUNDDOWN(B13/2,-1)</f>
        <v>7170</v>
      </c>
      <c r="C16" s="103">
        <f>ROUNDDOWN(C13/2,-1)</f>
        <v>2250</v>
      </c>
      <c r="D16" s="103"/>
    </row>
    <row r="17" spans="1:49">
      <c r="A17" s="103">
        <v>8.5</v>
      </c>
      <c r="B17" s="103">
        <f>ROUNDDOWN(B12/2,-1)</f>
        <v>4300</v>
      </c>
      <c r="C17" s="103">
        <f>ROUNDDOWN(C12/2,-1)</f>
        <v>1350</v>
      </c>
      <c r="D17" s="103"/>
      <c r="F17" s="316" t="s">
        <v>101</v>
      </c>
      <c r="G17" s="316" t="e">
        <f>'③軽減判定'!K17</f>
        <v>#N/A</v>
      </c>
      <c r="I17" s="167"/>
      <c r="J17" s="167"/>
      <c r="K17" s="167"/>
      <c r="P17" s="346"/>
      <c r="Q17" s="347"/>
    </row>
    <row r="18" spans="1:49">
      <c r="I18" s="167"/>
      <c r="J18" s="167"/>
      <c r="K18" s="167"/>
      <c r="P18" s="167"/>
      <c r="Q18" s="167"/>
    </row>
    <row r="19" spans="1:49">
      <c r="F19" s="346"/>
      <c r="G19" s="347"/>
      <c r="I19" s="167"/>
      <c r="J19" s="167"/>
      <c r="K19" s="167"/>
      <c r="M19" s="318" t="s">
        <v>152</v>
      </c>
      <c r="N19" s="322">
        <f>'④所得割'!D17</f>
        <v>0</v>
      </c>
      <c r="P19" s="346"/>
      <c r="Q19" s="347"/>
      <c r="S19" s="96" t="s">
        <v>153</v>
      </c>
      <c r="AI19" s="96" t="s">
        <v>154</v>
      </c>
    </row>
    <row r="20" spans="1:49">
      <c r="B20" s="96" t="s">
        <v>181</v>
      </c>
      <c r="S20" s="96" t="s">
        <v>182</v>
      </c>
      <c r="AI20" s="96" t="s">
        <v>184</v>
      </c>
    </row>
    <row r="21" spans="1:49">
      <c r="B21" s="306" t="s">
        <v>158</v>
      </c>
      <c r="C21" s="212" t="s">
        <v>146</v>
      </c>
      <c r="D21" s="161"/>
      <c r="E21" s="213"/>
      <c r="F21" s="212" t="s">
        <v>95</v>
      </c>
      <c r="G21" s="161"/>
      <c r="H21" s="213"/>
      <c r="I21" s="212" t="s">
        <v>96</v>
      </c>
      <c r="J21" s="161"/>
      <c r="K21" s="213"/>
      <c r="L21" s="212" t="s">
        <v>97</v>
      </c>
      <c r="M21" s="161"/>
      <c r="N21" s="213"/>
      <c r="O21" s="212" t="s">
        <v>159</v>
      </c>
      <c r="P21" s="161"/>
      <c r="Q21" s="213"/>
      <c r="S21" s="157" t="s">
        <v>47</v>
      </c>
      <c r="AF21" s="334"/>
      <c r="AI21" s="334" t="s">
        <v>185</v>
      </c>
    </row>
    <row r="22" spans="1:49">
      <c r="B22" s="103" t="s">
        <v>132</v>
      </c>
      <c r="C22" s="340" t="s">
        <v>16</v>
      </c>
      <c r="D22" s="340" t="s">
        <v>126</v>
      </c>
      <c r="E22" s="340" t="s">
        <v>127</v>
      </c>
      <c r="F22" s="340" t="s">
        <v>16</v>
      </c>
      <c r="G22" s="340" t="s">
        <v>126</v>
      </c>
      <c r="H22" s="340" t="s">
        <v>127</v>
      </c>
      <c r="I22" s="340" t="s">
        <v>16</v>
      </c>
      <c r="J22" s="340" t="s">
        <v>126</v>
      </c>
      <c r="K22" s="340" t="s">
        <v>127</v>
      </c>
      <c r="L22" s="340" t="s">
        <v>16</v>
      </c>
      <c r="M22" s="340" t="s">
        <v>126</v>
      </c>
      <c r="N22" s="340" t="s">
        <v>127</v>
      </c>
      <c r="O22" s="340" t="s">
        <v>16</v>
      </c>
      <c r="P22" s="340" t="s">
        <v>126</v>
      </c>
      <c r="Q22" s="340" t="s">
        <v>127</v>
      </c>
      <c r="S22" s="157" t="s">
        <v>183</v>
      </c>
      <c r="AF22" s="334"/>
      <c r="AI22" s="334" t="s">
        <v>187</v>
      </c>
    </row>
    <row r="23" spans="1:49">
      <c r="B23" s="105">
        <v>27</v>
      </c>
      <c r="C23" s="341">
        <v>22770</v>
      </c>
      <c r="D23" s="344">
        <v>6320</v>
      </c>
      <c r="E23" s="344">
        <v>6480</v>
      </c>
      <c r="F23" s="344">
        <v>6830</v>
      </c>
      <c r="G23" s="344">
        <v>1890</v>
      </c>
      <c r="H23" s="344">
        <v>1940</v>
      </c>
      <c r="I23" s="344">
        <v>11380</v>
      </c>
      <c r="J23" s="344">
        <v>3160</v>
      </c>
      <c r="K23" s="344">
        <v>3240</v>
      </c>
      <c r="L23" s="344">
        <v>18210</v>
      </c>
      <c r="M23" s="344">
        <v>5050</v>
      </c>
      <c r="N23" s="356">
        <v>5180</v>
      </c>
      <c r="O23" s="344">
        <v>18210</v>
      </c>
      <c r="P23" s="344">
        <v>5050</v>
      </c>
      <c r="Q23" s="356">
        <v>5180</v>
      </c>
    </row>
    <row r="24" spans="1:49" ht="14.25">
      <c r="B24" s="105">
        <v>28</v>
      </c>
      <c r="C24" s="342">
        <v>23100</v>
      </c>
      <c r="D24" s="345">
        <v>6520</v>
      </c>
      <c r="E24" s="345">
        <v>6620</v>
      </c>
      <c r="F24" s="345">
        <v>6930</v>
      </c>
      <c r="G24" s="345">
        <v>1950</v>
      </c>
      <c r="H24" s="345">
        <v>1980</v>
      </c>
      <c r="I24" s="345">
        <v>11550</v>
      </c>
      <c r="J24" s="345">
        <v>3260</v>
      </c>
      <c r="K24" s="345">
        <v>3310</v>
      </c>
      <c r="L24" s="345">
        <v>18480</v>
      </c>
      <c r="M24" s="345">
        <v>5210</v>
      </c>
      <c r="N24" s="357">
        <v>5290</v>
      </c>
      <c r="O24" s="345">
        <v>18480</v>
      </c>
      <c r="P24" s="345">
        <v>5210</v>
      </c>
      <c r="Q24" s="357">
        <v>5290</v>
      </c>
      <c r="S24" s="360" t="s">
        <v>146</v>
      </c>
      <c r="T24" s="363"/>
      <c r="U24" s="364"/>
      <c r="V24" s="360" t="s">
        <v>95</v>
      </c>
      <c r="W24" s="363"/>
      <c r="X24" s="364"/>
      <c r="Y24" s="360" t="s">
        <v>96</v>
      </c>
      <c r="Z24" s="363"/>
      <c r="AA24" s="364"/>
      <c r="AB24" s="360" t="s">
        <v>97</v>
      </c>
      <c r="AC24" s="363"/>
      <c r="AD24" s="364"/>
      <c r="AE24" s="360" t="s">
        <v>97</v>
      </c>
      <c r="AF24" s="363"/>
      <c r="AG24" s="364"/>
      <c r="AI24" s="367" t="s">
        <v>146</v>
      </c>
      <c r="AJ24" s="370"/>
      <c r="AK24" s="371"/>
      <c r="AL24" s="367" t="s">
        <v>95</v>
      </c>
      <c r="AM24" s="370"/>
      <c r="AN24" s="371"/>
      <c r="AO24" s="367" t="s">
        <v>96</v>
      </c>
      <c r="AP24" s="370"/>
      <c r="AQ24" s="371"/>
      <c r="AR24" s="367" t="s">
        <v>97</v>
      </c>
      <c r="AS24" s="370"/>
      <c r="AT24" s="371"/>
      <c r="AU24" s="367" t="s">
        <v>159</v>
      </c>
      <c r="AV24" s="370"/>
      <c r="AW24" s="371"/>
    </row>
    <row r="25" spans="1:49" ht="14.25">
      <c r="B25" s="105">
        <v>29</v>
      </c>
      <c r="C25" s="195">
        <v>23020</v>
      </c>
      <c r="D25" s="195">
        <v>6370</v>
      </c>
      <c r="E25" s="195">
        <v>6380</v>
      </c>
      <c r="F25" s="195">
        <v>6900</v>
      </c>
      <c r="G25" s="195">
        <v>1910</v>
      </c>
      <c r="H25" s="195">
        <v>1910</v>
      </c>
      <c r="I25" s="195">
        <v>11510</v>
      </c>
      <c r="J25" s="195">
        <v>3180</v>
      </c>
      <c r="K25" s="195">
        <v>3190</v>
      </c>
      <c r="L25" s="195">
        <v>18410</v>
      </c>
      <c r="M25" s="195">
        <v>5090</v>
      </c>
      <c r="N25" s="195">
        <v>5100</v>
      </c>
      <c r="O25" s="195">
        <v>18410</v>
      </c>
      <c r="P25" s="195">
        <v>5090</v>
      </c>
      <c r="Q25" s="195">
        <v>5100</v>
      </c>
      <c r="R25" s="329" t="s">
        <v>132</v>
      </c>
      <c r="S25" s="361" t="s">
        <v>16</v>
      </c>
      <c r="T25" s="361" t="s">
        <v>126</v>
      </c>
      <c r="U25" s="361" t="s">
        <v>127</v>
      </c>
      <c r="V25" s="361" t="s">
        <v>16</v>
      </c>
      <c r="W25" s="361" t="s">
        <v>126</v>
      </c>
      <c r="X25" s="361" t="s">
        <v>127</v>
      </c>
      <c r="Y25" s="361" t="s">
        <v>16</v>
      </c>
      <c r="Z25" s="361" t="s">
        <v>126</v>
      </c>
      <c r="AA25" s="361" t="s">
        <v>127</v>
      </c>
      <c r="AB25" s="361" t="s">
        <v>16</v>
      </c>
      <c r="AC25" s="361" t="s">
        <v>126</v>
      </c>
      <c r="AD25" s="361" t="s">
        <v>127</v>
      </c>
      <c r="AE25" s="361" t="s">
        <v>16</v>
      </c>
      <c r="AF25" s="361" t="s">
        <v>126</v>
      </c>
      <c r="AG25" s="361" t="s">
        <v>127</v>
      </c>
      <c r="AH25" s="365" t="s">
        <v>132</v>
      </c>
      <c r="AI25" s="368" t="s">
        <v>16</v>
      </c>
      <c r="AJ25" s="368" t="s">
        <v>126</v>
      </c>
      <c r="AK25" s="368" t="s">
        <v>127</v>
      </c>
      <c r="AL25" s="368" t="s">
        <v>16</v>
      </c>
      <c r="AM25" s="368" t="s">
        <v>126</v>
      </c>
      <c r="AN25" s="368" t="s">
        <v>127</v>
      </c>
      <c r="AO25" s="368" t="s">
        <v>16</v>
      </c>
      <c r="AP25" s="368" t="s">
        <v>126</v>
      </c>
      <c r="AQ25" s="368" t="s">
        <v>127</v>
      </c>
      <c r="AR25" s="368" t="s">
        <v>16</v>
      </c>
      <c r="AS25" s="368" t="s">
        <v>126</v>
      </c>
      <c r="AT25" s="368" t="s">
        <v>127</v>
      </c>
      <c r="AU25" s="368" t="s">
        <v>16</v>
      </c>
      <c r="AV25" s="368" t="s">
        <v>126</v>
      </c>
      <c r="AW25" s="368" t="s">
        <v>127</v>
      </c>
    </row>
    <row r="26" spans="1:49" ht="14.25">
      <c r="B26" s="105">
        <v>30</v>
      </c>
      <c r="C26" s="195">
        <v>28210</v>
      </c>
      <c r="D26" s="195">
        <v>9700</v>
      </c>
      <c r="E26" s="195">
        <v>9680</v>
      </c>
      <c r="F26" s="195">
        <v>8460</v>
      </c>
      <c r="G26" s="195">
        <v>2910</v>
      </c>
      <c r="H26" s="195">
        <v>2900</v>
      </c>
      <c r="I26" s="195">
        <v>14100</v>
      </c>
      <c r="J26" s="195">
        <v>4850</v>
      </c>
      <c r="K26" s="195">
        <v>4840</v>
      </c>
      <c r="L26" s="195">
        <v>22560</v>
      </c>
      <c r="M26" s="195">
        <v>7760</v>
      </c>
      <c r="N26" s="195">
        <v>7740</v>
      </c>
      <c r="O26" s="195">
        <v>25380</v>
      </c>
      <c r="P26" s="195">
        <v>8730</v>
      </c>
      <c r="Q26" s="195">
        <v>8710</v>
      </c>
      <c r="R26" s="359">
        <v>30</v>
      </c>
      <c r="S26" s="362">
        <f t="shared" ref="S26:AG44" si="4">IF($N$19&lt;999999999,C26-1000,C26)</f>
        <v>27210</v>
      </c>
      <c r="T26" s="362">
        <f t="shared" si="4"/>
        <v>8700</v>
      </c>
      <c r="U26" s="362">
        <f t="shared" si="4"/>
        <v>8680</v>
      </c>
      <c r="V26" s="362">
        <f t="shared" si="4"/>
        <v>7460</v>
      </c>
      <c r="W26" s="362">
        <f t="shared" si="4"/>
        <v>1910</v>
      </c>
      <c r="X26" s="362">
        <f t="shared" si="4"/>
        <v>1900</v>
      </c>
      <c r="Y26" s="362">
        <f t="shared" si="4"/>
        <v>13100</v>
      </c>
      <c r="Z26" s="362">
        <f t="shared" si="4"/>
        <v>3850</v>
      </c>
      <c r="AA26" s="362">
        <f t="shared" si="4"/>
        <v>3840</v>
      </c>
      <c r="AB26" s="362">
        <f t="shared" si="4"/>
        <v>21560</v>
      </c>
      <c r="AC26" s="362">
        <f t="shared" si="4"/>
        <v>6760</v>
      </c>
      <c r="AD26" s="362">
        <f t="shared" si="4"/>
        <v>6740</v>
      </c>
      <c r="AE26" s="362">
        <f t="shared" si="4"/>
        <v>24380</v>
      </c>
      <c r="AF26" s="362">
        <f t="shared" si="4"/>
        <v>7730</v>
      </c>
      <c r="AG26" s="362">
        <f t="shared" si="4"/>
        <v>7710</v>
      </c>
      <c r="AH26" s="366">
        <v>30</v>
      </c>
      <c r="AI26" s="369">
        <f t="shared" ref="AI26:AW44" si="5">IF($N$19&lt;999999999,C26*0.7,C26)</f>
        <v>19747</v>
      </c>
      <c r="AJ26" s="369">
        <f t="shared" si="5"/>
        <v>6790</v>
      </c>
      <c r="AK26" s="369">
        <f t="shared" si="5"/>
        <v>6776</v>
      </c>
      <c r="AL26" s="369">
        <f t="shared" si="5"/>
        <v>5922</v>
      </c>
      <c r="AM26" s="369">
        <f t="shared" si="5"/>
        <v>2036.9999999999998</v>
      </c>
      <c r="AN26" s="369">
        <f t="shared" si="5"/>
        <v>2029.9999999999998</v>
      </c>
      <c r="AO26" s="369">
        <f t="shared" si="5"/>
        <v>9870</v>
      </c>
      <c r="AP26" s="369">
        <f t="shared" si="5"/>
        <v>3395</v>
      </c>
      <c r="AQ26" s="369">
        <f t="shared" si="5"/>
        <v>3388</v>
      </c>
      <c r="AR26" s="369">
        <f t="shared" si="5"/>
        <v>15791.999999999998</v>
      </c>
      <c r="AS26" s="369">
        <f t="shared" si="5"/>
        <v>5432</v>
      </c>
      <c r="AT26" s="369">
        <f t="shared" si="5"/>
        <v>5418</v>
      </c>
      <c r="AU26" s="369">
        <f t="shared" si="5"/>
        <v>17766</v>
      </c>
      <c r="AV26" s="369">
        <f t="shared" si="5"/>
        <v>6111</v>
      </c>
      <c r="AW26" s="369">
        <f t="shared" si="5"/>
        <v>6097</v>
      </c>
    </row>
    <row r="27" spans="1:49" ht="14.25">
      <c r="A27" s="148" t="s">
        <v>133</v>
      </c>
      <c r="B27" s="105">
        <v>31</v>
      </c>
      <c r="C27" s="195">
        <v>29230</v>
      </c>
      <c r="D27" s="195">
        <v>9440</v>
      </c>
      <c r="E27" s="195">
        <v>9570</v>
      </c>
      <c r="F27" s="195">
        <v>8760</v>
      </c>
      <c r="G27" s="195">
        <v>2830</v>
      </c>
      <c r="H27" s="195">
        <v>2870</v>
      </c>
      <c r="I27" s="195">
        <v>14610</v>
      </c>
      <c r="J27" s="195">
        <v>4720</v>
      </c>
      <c r="K27" s="195">
        <v>4780</v>
      </c>
      <c r="L27" s="195">
        <v>23380</v>
      </c>
      <c r="M27" s="195">
        <v>7550</v>
      </c>
      <c r="N27" s="195">
        <v>7650</v>
      </c>
      <c r="O27" s="195">
        <v>26300</v>
      </c>
      <c r="P27" s="195">
        <v>8490</v>
      </c>
      <c r="Q27" s="195">
        <v>8610</v>
      </c>
      <c r="R27" s="359">
        <v>31</v>
      </c>
      <c r="S27" s="362">
        <f t="shared" si="4"/>
        <v>28230</v>
      </c>
      <c r="T27" s="362">
        <f t="shared" si="4"/>
        <v>8440</v>
      </c>
      <c r="U27" s="362">
        <f t="shared" si="4"/>
        <v>8570</v>
      </c>
      <c r="V27" s="362">
        <f t="shared" si="4"/>
        <v>7760</v>
      </c>
      <c r="W27" s="362">
        <f t="shared" si="4"/>
        <v>1830</v>
      </c>
      <c r="X27" s="362">
        <f t="shared" si="4"/>
        <v>1870</v>
      </c>
      <c r="Y27" s="362">
        <f t="shared" si="4"/>
        <v>13610</v>
      </c>
      <c r="Z27" s="362">
        <f t="shared" si="4"/>
        <v>3720</v>
      </c>
      <c r="AA27" s="362">
        <f t="shared" si="4"/>
        <v>3780</v>
      </c>
      <c r="AB27" s="362">
        <f t="shared" si="4"/>
        <v>22380</v>
      </c>
      <c r="AC27" s="362">
        <f t="shared" si="4"/>
        <v>6550</v>
      </c>
      <c r="AD27" s="362">
        <f t="shared" si="4"/>
        <v>6650</v>
      </c>
      <c r="AE27" s="362">
        <f t="shared" si="4"/>
        <v>25300</v>
      </c>
      <c r="AF27" s="362">
        <f t="shared" si="4"/>
        <v>7490</v>
      </c>
      <c r="AG27" s="362">
        <f t="shared" si="4"/>
        <v>7610</v>
      </c>
      <c r="AH27" s="366">
        <v>31</v>
      </c>
      <c r="AI27" s="369">
        <f t="shared" si="5"/>
        <v>20461</v>
      </c>
      <c r="AJ27" s="369">
        <f t="shared" si="5"/>
        <v>6608</v>
      </c>
      <c r="AK27" s="369">
        <f t="shared" si="5"/>
        <v>6699</v>
      </c>
      <c r="AL27" s="369">
        <f t="shared" si="5"/>
        <v>6132</v>
      </c>
      <c r="AM27" s="369">
        <f t="shared" si="5"/>
        <v>1980.9999999999998</v>
      </c>
      <c r="AN27" s="369">
        <f t="shared" si="5"/>
        <v>2008.9999999999998</v>
      </c>
      <c r="AO27" s="369">
        <f t="shared" si="5"/>
        <v>10227</v>
      </c>
      <c r="AP27" s="369">
        <f t="shared" si="5"/>
        <v>3304</v>
      </c>
      <c r="AQ27" s="369">
        <f t="shared" si="5"/>
        <v>3346</v>
      </c>
      <c r="AR27" s="369">
        <f t="shared" si="5"/>
        <v>16365.999999999998</v>
      </c>
      <c r="AS27" s="369">
        <f t="shared" si="5"/>
        <v>5285</v>
      </c>
      <c r="AT27" s="369">
        <f t="shared" si="5"/>
        <v>5355</v>
      </c>
      <c r="AU27" s="369">
        <f t="shared" si="5"/>
        <v>18410</v>
      </c>
      <c r="AV27" s="369">
        <f t="shared" si="5"/>
        <v>5943</v>
      </c>
      <c r="AW27" s="369">
        <f t="shared" si="5"/>
        <v>6027</v>
      </c>
    </row>
    <row r="28" spans="1:49" ht="14.25">
      <c r="A28" s="148" t="s">
        <v>136</v>
      </c>
      <c r="B28" s="105">
        <v>2</v>
      </c>
      <c r="C28" s="195">
        <v>30430</v>
      </c>
      <c r="D28" s="195">
        <v>9870</v>
      </c>
      <c r="E28" s="195">
        <v>9640</v>
      </c>
      <c r="F28" s="195">
        <f t="shared" ref="F28:H29" si="6">C28-ROUNDUP(C28*0.7,-1)</f>
        <v>9120</v>
      </c>
      <c r="G28" s="195">
        <f t="shared" si="6"/>
        <v>2960</v>
      </c>
      <c r="H28" s="195">
        <f t="shared" si="6"/>
        <v>2890</v>
      </c>
      <c r="I28" s="195">
        <f t="shared" ref="I28:K29" si="7">C28-ROUNDUP(C28*0.5,-1)</f>
        <v>15210</v>
      </c>
      <c r="J28" s="195">
        <f t="shared" si="7"/>
        <v>4930</v>
      </c>
      <c r="K28" s="195">
        <f t="shared" si="7"/>
        <v>4820</v>
      </c>
      <c r="L28" s="195">
        <f t="shared" ref="L28:N29" si="8">C28-ROUNDUP(C28*0.2,-1)</f>
        <v>24340</v>
      </c>
      <c r="M28" s="195">
        <f t="shared" si="8"/>
        <v>7890</v>
      </c>
      <c r="N28" s="195">
        <f t="shared" si="8"/>
        <v>7710</v>
      </c>
      <c r="O28" s="195">
        <f t="shared" ref="O28:Q29" si="9">C28-ROUNDUP(C28*0.1,-1)</f>
        <v>27380</v>
      </c>
      <c r="P28" s="195">
        <f t="shared" si="9"/>
        <v>8880</v>
      </c>
      <c r="Q28" s="195">
        <f t="shared" si="9"/>
        <v>8670</v>
      </c>
      <c r="R28" s="359">
        <v>32</v>
      </c>
      <c r="S28" s="362">
        <f t="shared" si="4"/>
        <v>29430</v>
      </c>
      <c r="T28" s="362">
        <f t="shared" si="4"/>
        <v>8870</v>
      </c>
      <c r="U28" s="362">
        <f t="shared" si="4"/>
        <v>8640</v>
      </c>
      <c r="V28" s="362">
        <f t="shared" si="4"/>
        <v>8120</v>
      </c>
      <c r="W28" s="362">
        <f t="shared" si="4"/>
        <v>1960</v>
      </c>
      <c r="X28" s="362">
        <f t="shared" si="4"/>
        <v>1890</v>
      </c>
      <c r="Y28" s="362">
        <f t="shared" si="4"/>
        <v>14210</v>
      </c>
      <c r="Z28" s="362">
        <f t="shared" si="4"/>
        <v>3930</v>
      </c>
      <c r="AA28" s="362">
        <f t="shared" si="4"/>
        <v>3820</v>
      </c>
      <c r="AB28" s="362">
        <f t="shared" si="4"/>
        <v>23340</v>
      </c>
      <c r="AC28" s="362">
        <f t="shared" si="4"/>
        <v>6890</v>
      </c>
      <c r="AD28" s="362">
        <f t="shared" si="4"/>
        <v>6710</v>
      </c>
      <c r="AE28" s="362">
        <f t="shared" si="4"/>
        <v>26380</v>
      </c>
      <c r="AF28" s="362">
        <f t="shared" si="4"/>
        <v>7880</v>
      </c>
      <c r="AG28" s="362">
        <f t="shared" si="4"/>
        <v>7670</v>
      </c>
      <c r="AH28" s="366">
        <v>32</v>
      </c>
      <c r="AI28" s="369">
        <f t="shared" si="5"/>
        <v>21301</v>
      </c>
      <c r="AJ28" s="369">
        <f t="shared" si="5"/>
        <v>6909</v>
      </c>
      <c r="AK28" s="369">
        <f t="shared" si="5"/>
        <v>6748</v>
      </c>
      <c r="AL28" s="369">
        <f t="shared" si="5"/>
        <v>6384</v>
      </c>
      <c r="AM28" s="369">
        <f t="shared" si="5"/>
        <v>2072</v>
      </c>
      <c r="AN28" s="369">
        <f t="shared" si="5"/>
        <v>2022.9999999999998</v>
      </c>
      <c r="AO28" s="369">
        <f t="shared" si="5"/>
        <v>10647</v>
      </c>
      <c r="AP28" s="369">
        <f t="shared" si="5"/>
        <v>3451</v>
      </c>
      <c r="AQ28" s="369">
        <f t="shared" si="5"/>
        <v>3374</v>
      </c>
      <c r="AR28" s="369">
        <f t="shared" si="5"/>
        <v>17038</v>
      </c>
      <c r="AS28" s="369">
        <f t="shared" si="5"/>
        <v>5523</v>
      </c>
      <c r="AT28" s="369">
        <f t="shared" si="5"/>
        <v>5397</v>
      </c>
      <c r="AU28" s="369">
        <f t="shared" si="5"/>
        <v>19166</v>
      </c>
      <c r="AV28" s="369">
        <f t="shared" si="5"/>
        <v>6216</v>
      </c>
      <c r="AW28" s="369">
        <f t="shared" si="5"/>
        <v>6069</v>
      </c>
    </row>
    <row r="29" spans="1:49" ht="14.25">
      <c r="A29" s="148" t="s">
        <v>103</v>
      </c>
      <c r="B29" s="105">
        <v>3</v>
      </c>
      <c r="C29" s="195">
        <v>25620</v>
      </c>
      <c r="D29" s="195">
        <v>8420</v>
      </c>
      <c r="E29" s="195">
        <v>8220</v>
      </c>
      <c r="F29" s="195">
        <f t="shared" si="6"/>
        <v>7680</v>
      </c>
      <c r="G29" s="195">
        <f t="shared" si="6"/>
        <v>2520</v>
      </c>
      <c r="H29" s="195">
        <f t="shared" si="6"/>
        <v>2460</v>
      </c>
      <c r="I29" s="195">
        <f t="shared" si="7"/>
        <v>12810</v>
      </c>
      <c r="J29" s="195">
        <f t="shared" si="7"/>
        <v>4210</v>
      </c>
      <c r="K29" s="195">
        <f t="shared" si="7"/>
        <v>4110</v>
      </c>
      <c r="L29" s="195">
        <f t="shared" si="8"/>
        <v>20490</v>
      </c>
      <c r="M29" s="195">
        <f t="shared" si="8"/>
        <v>6730</v>
      </c>
      <c r="N29" s="195">
        <f t="shared" si="8"/>
        <v>6570</v>
      </c>
      <c r="O29" s="195">
        <f t="shared" si="9"/>
        <v>23050</v>
      </c>
      <c r="P29" s="195">
        <f t="shared" si="9"/>
        <v>7570</v>
      </c>
      <c r="Q29" s="195">
        <f t="shared" si="9"/>
        <v>7390</v>
      </c>
      <c r="R29" s="359">
        <v>33</v>
      </c>
      <c r="S29" s="362">
        <f t="shared" si="4"/>
        <v>24620</v>
      </c>
      <c r="T29" s="362">
        <f t="shared" si="4"/>
        <v>7420</v>
      </c>
      <c r="U29" s="362">
        <f t="shared" si="4"/>
        <v>7220</v>
      </c>
      <c r="V29" s="362">
        <f t="shared" si="4"/>
        <v>6680</v>
      </c>
      <c r="W29" s="362">
        <f t="shared" si="4"/>
        <v>1520</v>
      </c>
      <c r="X29" s="362">
        <f t="shared" si="4"/>
        <v>1460</v>
      </c>
      <c r="Y29" s="362">
        <f t="shared" si="4"/>
        <v>11810</v>
      </c>
      <c r="Z29" s="362">
        <f t="shared" si="4"/>
        <v>3210</v>
      </c>
      <c r="AA29" s="362">
        <f t="shared" si="4"/>
        <v>3110</v>
      </c>
      <c r="AB29" s="362">
        <f t="shared" si="4"/>
        <v>19490</v>
      </c>
      <c r="AC29" s="362">
        <f t="shared" si="4"/>
        <v>5730</v>
      </c>
      <c r="AD29" s="362">
        <f t="shared" si="4"/>
        <v>5570</v>
      </c>
      <c r="AE29" s="362">
        <f t="shared" si="4"/>
        <v>22050</v>
      </c>
      <c r="AF29" s="362">
        <f t="shared" si="4"/>
        <v>6570</v>
      </c>
      <c r="AG29" s="362">
        <f t="shared" si="4"/>
        <v>6390</v>
      </c>
      <c r="AH29" s="366">
        <v>33</v>
      </c>
      <c r="AI29" s="369">
        <f t="shared" si="5"/>
        <v>17934</v>
      </c>
      <c r="AJ29" s="369">
        <f t="shared" si="5"/>
        <v>5894</v>
      </c>
      <c r="AK29" s="369">
        <f t="shared" si="5"/>
        <v>5754</v>
      </c>
      <c r="AL29" s="369">
        <f t="shared" si="5"/>
        <v>5376</v>
      </c>
      <c r="AM29" s="369">
        <f t="shared" si="5"/>
        <v>1764</v>
      </c>
      <c r="AN29" s="369">
        <f t="shared" si="5"/>
        <v>1722</v>
      </c>
      <c r="AO29" s="369">
        <f t="shared" si="5"/>
        <v>8967</v>
      </c>
      <c r="AP29" s="369">
        <f t="shared" si="5"/>
        <v>2947</v>
      </c>
      <c r="AQ29" s="369">
        <f t="shared" si="5"/>
        <v>2877</v>
      </c>
      <c r="AR29" s="369">
        <f t="shared" si="5"/>
        <v>14342.999999999998</v>
      </c>
      <c r="AS29" s="369">
        <f t="shared" si="5"/>
        <v>4711</v>
      </c>
      <c r="AT29" s="369">
        <f t="shared" si="5"/>
        <v>4599</v>
      </c>
      <c r="AU29" s="369">
        <f t="shared" si="5"/>
        <v>16134.999999999998</v>
      </c>
      <c r="AV29" s="369">
        <f t="shared" si="5"/>
        <v>5299</v>
      </c>
      <c r="AW29" s="369">
        <f t="shared" si="5"/>
        <v>5173</v>
      </c>
    </row>
    <row r="30" spans="1:49" ht="14.25">
      <c r="A30" s="148" t="s">
        <v>137</v>
      </c>
      <c r="B30" s="105">
        <v>4</v>
      </c>
      <c r="C30" s="195">
        <v>26530</v>
      </c>
      <c r="D30" s="195">
        <v>8430</v>
      </c>
      <c r="E30" s="195">
        <v>8410</v>
      </c>
      <c r="F30" s="195">
        <v>7950</v>
      </c>
      <c r="G30" s="195">
        <v>2520</v>
      </c>
      <c r="H30" s="195">
        <v>2520</v>
      </c>
      <c r="I30" s="195">
        <v>13260</v>
      </c>
      <c r="J30" s="195">
        <v>4210</v>
      </c>
      <c r="K30" s="195">
        <v>4200</v>
      </c>
      <c r="L30" s="195">
        <v>21220</v>
      </c>
      <c r="M30" s="195">
        <v>6740</v>
      </c>
      <c r="N30" s="195">
        <v>6720</v>
      </c>
      <c r="O30" s="195"/>
      <c r="P30" s="195"/>
      <c r="Q30" s="195"/>
      <c r="R30" s="359">
        <v>34</v>
      </c>
      <c r="S30" s="362">
        <f t="shared" si="4"/>
        <v>25530</v>
      </c>
      <c r="T30" s="362">
        <f t="shared" si="4"/>
        <v>7430</v>
      </c>
      <c r="U30" s="362">
        <f t="shared" si="4"/>
        <v>7410</v>
      </c>
      <c r="V30" s="362">
        <f t="shared" si="4"/>
        <v>6950</v>
      </c>
      <c r="W30" s="362">
        <f t="shared" si="4"/>
        <v>1520</v>
      </c>
      <c r="X30" s="362">
        <f t="shared" si="4"/>
        <v>1520</v>
      </c>
      <c r="Y30" s="362">
        <f t="shared" si="4"/>
        <v>12260</v>
      </c>
      <c r="Z30" s="362">
        <f t="shared" si="4"/>
        <v>3210</v>
      </c>
      <c r="AA30" s="362">
        <f t="shared" si="4"/>
        <v>3200</v>
      </c>
      <c r="AB30" s="362">
        <f t="shared" si="4"/>
        <v>20220</v>
      </c>
      <c r="AC30" s="362">
        <f t="shared" si="4"/>
        <v>5740</v>
      </c>
      <c r="AD30" s="362">
        <f t="shared" si="4"/>
        <v>5720</v>
      </c>
      <c r="AE30" s="362">
        <f t="shared" si="4"/>
        <v>-1000</v>
      </c>
      <c r="AF30" s="362">
        <f t="shared" si="4"/>
        <v>-1000</v>
      </c>
      <c r="AG30" s="362">
        <f t="shared" si="4"/>
        <v>-1000</v>
      </c>
      <c r="AH30" s="366">
        <v>34</v>
      </c>
      <c r="AI30" s="369">
        <f t="shared" si="5"/>
        <v>18571</v>
      </c>
      <c r="AJ30" s="369">
        <f t="shared" si="5"/>
        <v>5901</v>
      </c>
      <c r="AK30" s="369">
        <f t="shared" si="5"/>
        <v>5887</v>
      </c>
      <c r="AL30" s="369">
        <f t="shared" si="5"/>
        <v>5565</v>
      </c>
      <c r="AM30" s="369">
        <f t="shared" si="5"/>
        <v>1764</v>
      </c>
      <c r="AN30" s="369">
        <f t="shared" si="5"/>
        <v>1764</v>
      </c>
      <c r="AO30" s="369">
        <f t="shared" si="5"/>
        <v>9282</v>
      </c>
      <c r="AP30" s="369">
        <f t="shared" si="5"/>
        <v>2947</v>
      </c>
      <c r="AQ30" s="369">
        <f t="shared" si="5"/>
        <v>2940</v>
      </c>
      <c r="AR30" s="369">
        <f t="shared" si="5"/>
        <v>14853.999999999998</v>
      </c>
      <c r="AS30" s="369">
        <f t="shared" si="5"/>
        <v>4718</v>
      </c>
      <c r="AT30" s="369">
        <f t="shared" si="5"/>
        <v>4704</v>
      </c>
      <c r="AU30" s="369">
        <f t="shared" si="5"/>
        <v>0</v>
      </c>
      <c r="AV30" s="369">
        <f t="shared" si="5"/>
        <v>0</v>
      </c>
      <c r="AW30" s="369">
        <f t="shared" si="5"/>
        <v>0</v>
      </c>
    </row>
    <row r="31" spans="1:49" ht="14.25">
      <c r="A31" s="148" t="s">
        <v>138</v>
      </c>
      <c r="B31" s="105">
        <v>5</v>
      </c>
      <c r="C31" s="343">
        <v>26220</v>
      </c>
      <c r="D31" s="343">
        <v>8840</v>
      </c>
      <c r="E31" s="343">
        <v>8730</v>
      </c>
      <c r="F31" s="343">
        <v>7860</v>
      </c>
      <c r="G31" s="343">
        <v>2650</v>
      </c>
      <c r="H31" s="343">
        <v>2610</v>
      </c>
      <c r="I31" s="343">
        <v>13110</v>
      </c>
      <c r="J31" s="343">
        <v>4420</v>
      </c>
      <c r="K31" s="343">
        <v>4360</v>
      </c>
      <c r="L31" s="343">
        <v>20970</v>
      </c>
      <c r="M31" s="343">
        <v>7070</v>
      </c>
      <c r="N31" s="343">
        <v>6980</v>
      </c>
      <c r="O31" s="195"/>
      <c r="P31" s="195"/>
      <c r="Q31" s="195"/>
      <c r="R31" s="359">
        <v>35</v>
      </c>
      <c r="S31" s="362">
        <f t="shared" si="4"/>
        <v>25220</v>
      </c>
      <c r="T31" s="362">
        <f t="shared" si="4"/>
        <v>7840</v>
      </c>
      <c r="U31" s="362">
        <f t="shared" si="4"/>
        <v>7730</v>
      </c>
      <c r="V31" s="362">
        <f t="shared" si="4"/>
        <v>6860</v>
      </c>
      <c r="W31" s="362">
        <f t="shared" si="4"/>
        <v>1650</v>
      </c>
      <c r="X31" s="362">
        <f t="shared" si="4"/>
        <v>1610</v>
      </c>
      <c r="Y31" s="362">
        <f t="shared" si="4"/>
        <v>12110</v>
      </c>
      <c r="Z31" s="362">
        <f t="shared" si="4"/>
        <v>3420</v>
      </c>
      <c r="AA31" s="362">
        <f t="shared" si="4"/>
        <v>3360</v>
      </c>
      <c r="AB31" s="362">
        <f t="shared" si="4"/>
        <v>19970</v>
      </c>
      <c r="AC31" s="362">
        <f t="shared" si="4"/>
        <v>6070</v>
      </c>
      <c r="AD31" s="362">
        <f t="shared" si="4"/>
        <v>5980</v>
      </c>
      <c r="AE31" s="362">
        <f t="shared" si="4"/>
        <v>-1000</v>
      </c>
      <c r="AF31" s="362">
        <f t="shared" si="4"/>
        <v>-1000</v>
      </c>
      <c r="AG31" s="362">
        <f t="shared" si="4"/>
        <v>-1000</v>
      </c>
      <c r="AH31" s="366">
        <v>35</v>
      </c>
      <c r="AI31" s="369">
        <f t="shared" si="5"/>
        <v>18354</v>
      </c>
      <c r="AJ31" s="369">
        <f t="shared" si="5"/>
        <v>6188</v>
      </c>
      <c r="AK31" s="369">
        <f t="shared" si="5"/>
        <v>6111</v>
      </c>
      <c r="AL31" s="369">
        <f t="shared" si="5"/>
        <v>5502</v>
      </c>
      <c r="AM31" s="369">
        <f t="shared" si="5"/>
        <v>1854.9999999999998</v>
      </c>
      <c r="AN31" s="369">
        <f t="shared" si="5"/>
        <v>1826.9999999999998</v>
      </c>
      <c r="AO31" s="369">
        <f t="shared" si="5"/>
        <v>9177</v>
      </c>
      <c r="AP31" s="369">
        <f t="shared" si="5"/>
        <v>3094</v>
      </c>
      <c r="AQ31" s="369">
        <f t="shared" si="5"/>
        <v>3052</v>
      </c>
      <c r="AR31" s="369">
        <f t="shared" si="5"/>
        <v>14678.999999999998</v>
      </c>
      <c r="AS31" s="369">
        <f t="shared" si="5"/>
        <v>4949</v>
      </c>
      <c r="AT31" s="369">
        <f t="shared" si="5"/>
        <v>4886</v>
      </c>
      <c r="AU31" s="369">
        <f t="shared" si="5"/>
        <v>0</v>
      </c>
      <c r="AV31" s="369">
        <f t="shared" si="5"/>
        <v>0</v>
      </c>
      <c r="AW31" s="369">
        <f t="shared" si="5"/>
        <v>0</v>
      </c>
    </row>
    <row r="32" spans="1:49" ht="14.25">
      <c r="A32" s="148" t="s">
        <v>140</v>
      </c>
      <c r="B32" s="105">
        <v>6</v>
      </c>
      <c r="C32" s="195">
        <v>27020</v>
      </c>
      <c r="D32" s="195">
        <v>9290</v>
      </c>
      <c r="E32" s="195">
        <v>9060</v>
      </c>
      <c r="F32" s="195">
        <v>8100</v>
      </c>
      <c r="G32" s="195">
        <v>2780</v>
      </c>
      <c r="H32" s="195">
        <v>2710</v>
      </c>
      <c r="I32" s="195">
        <v>13510</v>
      </c>
      <c r="J32" s="195">
        <v>4640</v>
      </c>
      <c r="K32" s="195">
        <v>4530</v>
      </c>
      <c r="L32" s="195">
        <v>21610</v>
      </c>
      <c r="M32" s="195">
        <v>7430</v>
      </c>
      <c r="N32" s="195">
        <v>7240</v>
      </c>
      <c r="O32" s="195"/>
      <c r="P32" s="195"/>
      <c r="Q32" s="195"/>
      <c r="R32" s="359">
        <v>36</v>
      </c>
      <c r="S32" s="362">
        <f t="shared" si="4"/>
        <v>26020</v>
      </c>
      <c r="T32" s="362">
        <f t="shared" si="4"/>
        <v>8290</v>
      </c>
      <c r="U32" s="362">
        <f t="shared" si="4"/>
        <v>8060</v>
      </c>
      <c r="V32" s="362">
        <f t="shared" si="4"/>
        <v>7100</v>
      </c>
      <c r="W32" s="362">
        <f t="shared" si="4"/>
        <v>1780</v>
      </c>
      <c r="X32" s="362">
        <f t="shared" si="4"/>
        <v>1710</v>
      </c>
      <c r="Y32" s="362">
        <f t="shared" si="4"/>
        <v>12510</v>
      </c>
      <c r="Z32" s="362">
        <f t="shared" si="4"/>
        <v>3640</v>
      </c>
      <c r="AA32" s="362">
        <f t="shared" si="4"/>
        <v>3530</v>
      </c>
      <c r="AB32" s="362">
        <f t="shared" si="4"/>
        <v>20610</v>
      </c>
      <c r="AC32" s="362">
        <f t="shared" si="4"/>
        <v>6430</v>
      </c>
      <c r="AD32" s="362">
        <f t="shared" si="4"/>
        <v>6240</v>
      </c>
      <c r="AE32" s="362">
        <f t="shared" si="4"/>
        <v>-1000</v>
      </c>
      <c r="AF32" s="362">
        <f t="shared" si="4"/>
        <v>-1000</v>
      </c>
      <c r="AG32" s="362">
        <f t="shared" si="4"/>
        <v>-1000</v>
      </c>
      <c r="AH32" s="366">
        <v>36</v>
      </c>
      <c r="AI32" s="369">
        <f t="shared" si="5"/>
        <v>18914</v>
      </c>
      <c r="AJ32" s="369">
        <f t="shared" si="5"/>
        <v>6503</v>
      </c>
      <c r="AK32" s="369">
        <f t="shared" si="5"/>
        <v>6342</v>
      </c>
      <c r="AL32" s="369">
        <f t="shared" si="5"/>
        <v>5670</v>
      </c>
      <c r="AM32" s="369">
        <f t="shared" si="5"/>
        <v>1945.9999999999998</v>
      </c>
      <c r="AN32" s="369">
        <f t="shared" si="5"/>
        <v>1896.9999999999998</v>
      </c>
      <c r="AO32" s="369">
        <f t="shared" si="5"/>
        <v>9457</v>
      </c>
      <c r="AP32" s="369">
        <f t="shared" si="5"/>
        <v>3248</v>
      </c>
      <c r="AQ32" s="369">
        <f t="shared" si="5"/>
        <v>3171</v>
      </c>
      <c r="AR32" s="369">
        <f t="shared" si="5"/>
        <v>15126.999999999998</v>
      </c>
      <c r="AS32" s="369">
        <f t="shared" si="5"/>
        <v>5201</v>
      </c>
      <c r="AT32" s="369">
        <f t="shared" si="5"/>
        <v>5068</v>
      </c>
      <c r="AU32" s="369">
        <f t="shared" si="5"/>
        <v>0</v>
      </c>
      <c r="AV32" s="369">
        <f t="shared" si="5"/>
        <v>0</v>
      </c>
      <c r="AW32" s="369">
        <f t="shared" si="5"/>
        <v>0</v>
      </c>
    </row>
    <row r="33" spans="1:49" ht="14.25">
      <c r="A33" s="148" t="s">
        <v>165</v>
      </c>
      <c r="B33" s="105">
        <v>7</v>
      </c>
      <c r="C33" s="195">
        <v>28700</v>
      </c>
      <c r="D33" s="195">
        <v>9000</v>
      </c>
      <c r="E33" s="195">
        <v>8540</v>
      </c>
      <c r="F33" s="195">
        <v>8610</v>
      </c>
      <c r="G33" s="195">
        <v>2700</v>
      </c>
      <c r="H33" s="195">
        <v>2560</v>
      </c>
      <c r="I33" s="195">
        <v>14350</v>
      </c>
      <c r="J33" s="195">
        <v>4500</v>
      </c>
      <c r="K33" s="195">
        <v>4270</v>
      </c>
      <c r="L33" s="195">
        <v>22960</v>
      </c>
      <c r="M33" s="195">
        <v>7200</v>
      </c>
      <c r="N33" s="195">
        <v>6830</v>
      </c>
      <c r="O33" s="195"/>
      <c r="P33" s="195"/>
      <c r="Q33" s="195"/>
      <c r="R33" s="359">
        <v>37</v>
      </c>
      <c r="S33" s="362">
        <f t="shared" si="4"/>
        <v>27700</v>
      </c>
      <c r="T33" s="362">
        <f t="shared" si="4"/>
        <v>8000</v>
      </c>
      <c r="U33" s="362">
        <f t="shared" si="4"/>
        <v>7540</v>
      </c>
      <c r="V33" s="362">
        <f t="shared" si="4"/>
        <v>7610</v>
      </c>
      <c r="W33" s="362">
        <f t="shared" si="4"/>
        <v>1700</v>
      </c>
      <c r="X33" s="362">
        <f t="shared" si="4"/>
        <v>1560</v>
      </c>
      <c r="Y33" s="362">
        <f t="shared" si="4"/>
        <v>13350</v>
      </c>
      <c r="Z33" s="362">
        <f t="shared" si="4"/>
        <v>3500</v>
      </c>
      <c r="AA33" s="362">
        <f t="shared" si="4"/>
        <v>3270</v>
      </c>
      <c r="AB33" s="362">
        <f t="shared" si="4"/>
        <v>21960</v>
      </c>
      <c r="AC33" s="362">
        <f t="shared" si="4"/>
        <v>6200</v>
      </c>
      <c r="AD33" s="362">
        <f t="shared" si="4"/>
        <v>5830</v>
      </c>
      <c r="AE33" s="362">
        <f t="shared" si="4"/>
        <v>-1000</v>
      </c>
      <c r="AF33" s="362">
        <f t="shared" si="4"/>
        <v>-1000</v>
      </c>
      <c r="AG33" s="362">
        <f t="shared" si="4"/>
        <v>-1000</v>
      </c>
      <c r="AH33" s="366">
        <v>37</v>
      </c>
      <c r="AI33" s="369">
        <f t="shared" si="5"/>
        <v>20090</v>
      </c>
      <c r="AJ33" s="369">
        <f t="shared" si="5"/>
        <v>6300</v>
      </c>
      <c r="AK33" s="369">
        <f t="shared" si="5"/>
        <v>5978</v>
      </c>
      <c r="AL33" s="369">
        <f t="shared" si="5"/>
        <v>6027</v>
      </c>
      <c r="AM33" s="369">
        <f t="shared" si="5"/>
        <v>1889.9999999999998</v>
      </c>
      <c r="AN33" s="369">
        <f t="shared" si="5"/>
        <v>1792</v>
      </c>
      <c r="AO33" s="369">
        <f t="shared" si="5"/>
        <v>10045</v>
      </c>
      <c r="AP33" s="369">
        <f t="shared" si="5"/>
        <v>3150</v>
      </c>
      <c r="AQ33" s="369">
        <f t="shared" si="5"/>
        <v>2989</v>
      </c>
      <c r="AR33" s="369">
        <f t="shared" si="5"/>
        <v>16071.999999999998</v>
      </c>
      <c r="AS33" s="369">
        <f t="shared" si="5"/>
        <v>5040</v>
      </c>
      <c r="AT33" s="369">
        <f t="shared" si="5"/>
        <v>4781</v>
      </c>
      <c r="AU33" s="369">
        <f t="shared" si="5"/>
        <v>0</v>
      </c>
      <c r="AV33" s="369">
        <f t="shared" si="5"/>
        <v>0</v>
      </c>
      <c r="AW33" s="369">
        <f t="shared" si="5"/>
        <v>0</v>
      </c>
    </row>
    <row r="34" spans="1:49" ht="14.25">
      <c r="A34" s="148" t="s">
        <v>32</v>
      </c>
      <c r="B34" s="105">
        <v>8</v>
      </c>
      <c r="C34" s="195"/>
      <c r="D34" s="195"/>
      <c r="E34" s="195"/>
      <c r="F34" s="195"/>
      <c r="G34" s="195"/>
      <c r="H34" s="195"/>
      <c r="I34" s="195"/>
      <c r="J34" s="195"/>
      <c r="K34" s="195"/>
      <c r="L34" s="195"/>
      <c r="M34" s="195"/>
      <c r="N34" s="195"/>
      <c r="O34" s="195"/>
      <c r="P34" s="195"/>
      <c r="Q34" s="195"/>
      <c r="R34" s="359">
        <v>38</v>
      </c>
      <c r="S34" s="362">
        <f t="shared" si="4"/>
        <v>-1000</v>
      </c>
      <c r="T34" s="362">
        <f t="shared" si="4"/>
        <v>-1000</v>
      </c>
      <c r="U34" s="362">
        <f t="shared" si="4"/>
        <v>-1000</v>
      </c>
      <c r="V34" s="362">
        <f t="shared" si="4"/>
        <v>-1000</v>
      </c>
      <c r="W34" s="362">
        <f t="shared" si="4"/>
        <v>-1000</v>
      </c>
      <c r="X34" s="362">
        <f t="shared" si="4"/>
        <v>-1000</v>
      </c>
      <c r="Y34" s="362">
        <f t="shared" si="4"/>
        <v>-1000</v>
      </c>
      <c r="Z34" s="362">
        <f t="shared" si="4"/>
        <v>-1000</v>
      </c>
      <c r="AA34" s="362">
        <f t="shared" si="4"/>
        <v>-1000</v>
      </c>
      <c r="AB34" s="362">
        <f t="shared" si="4"/>
        <v>-1000</v>
      </c>
      <c r="AC34" s="362">
        <f t="shared" si="4"/>
        <v>-1000</v>
      </c>
      <c r="AD34" s="362">
        <f t="shared" si="4"/>
        <v>-1000</v>
      </c>
      <c r="AE34" s="362">
        <f t="shared" si="4"/>
        <v>-1000</v>
      </c>
      <c r="AF34" s="362">
        <f t="shared" si="4"/>
        <v>-1000</v>
      </c>
      <c r="AG34" s="362">
        <f t="shared" si="4"/>
        <v>-1000</v>
      </c>
      <c r="AH34" s="366">
        <v>38</v>
      </c>
      <c r="AI34" s="369">
        <f t="shared" si="5"/>
        <v>0</v>
      </c>
      <c r="AJ34" s="369">
        <f t="shared" si="5"/>
        <v>0</v>
      </c>
      <c r="AK34" s="369">
        <f t="shared" si="5"/>
        <v>0</v>
      </c>
      <c r="AL34" s="369">
        <f t="shared" si="5"/>
        <v>0</v>
      </c>
      <c r="AM34" s="369">
        <f t="shared" si="5"/>
        <v>0</v>
      </c>
      <c r="AN34" s="369">
        <f t="shared" si="5"/>
        <v>0</v>
      </c>
      <c r="AO34" s="369">
        <f t="shared" si="5"/>
        <v>0</v>
      </c>
      <c r="AP34" s="369">
        <f t="shared" si="5"/>
        <v>0</v>
      </c>
      <c r="AQ34" s="369">
        <f t="shared" si="5"/>
        <v>0</v>
      </c>
      <c r="AR34" s="369">
        <f t="shared" si="5"/>
        <v>0</v>
      </c>
      <c r="AS34" s="369">
        <f t="shared" si="5"/>
        <v>0</v>
      </c>
      <c r="AT34" s="369">
        <f t="shared" si="5"/>
        <v>0</v>
      </c>
      <c r="AU34" s="369">
        <f t="shared" si="5"/>
        <v>0</v>
      </c>
      <c r="AV34" s="369">
        <f t="shared" si="5"/>
        <v>0</v>
      </c>
      <c r="AW34" s="369">
        <f t="shared" si="5"/>
        <v>0</v>
      </c>
    </row>
    <row r="35" spans="1:49" ht="14.25">
      <c r="A35" s="148" t="s">
        <v>56</v>
      </c>
      <c r="B35" s="105">
        <v>9</v>
      </c>
      <c r="C35" s="195"/>
      <c r="D35" s="195"/>
      <c r="E35" s="195"/>
      <c r="F35" s="195"/>
      <c r="G35" s="195"/>
      <c r="H35" s="195"/>
      <c r="I35" s="195"/>
      <c r="J35" s="195"/>
      <c r="K35" s="195"/>
      <c r="L35" s="195"/>
      <c r="M35" s="195"/>
      <c r="N35" s="195"/>
      <c r="O35" s="195"/>
      <c r="P35" s="195"/>
      <c r="Q35" s="195"/>
      <c r="R35" s="359">
        <v>39</v>
      </c>
      <c r="S35" s="362">
        <f t="shared" si="4"/>
        <v>-1000</v>
      </c>
      <c r="T35" s="362">
        <f t="shared" si="4"/>
        <v>-1000</v>
      </c>
      <c r="U35" s="362">
        <f t="shared" si="4"/>
        <v>-1000</v>
      </c>
      <c r="V35" s="362">
        <f t="shared" si="4"/>
        <v>-1000</v>
      </c>
      <c r="W35" s="362">
        <f t="shared" si="4"/>
        <v>-1000</v>
      </c>
      <c r="X35" s="362">
        <f t="shared" si="4"/>
        <v>-1000</v>
      </c>
      <c r="Y35" s="362">
        <f t="shared" si="4"/>
        <v>-1000</v>
      </c>
      <c r="Z35" s="362">
        <f t="shared" si="4"/>
        <v>-1000</v>
      </c>
      <c r="AA35" s="362">
        <f t="shared" si="4"/>
        <v>-1000</v>
      </c>
      <c r="AB35" s="362">
        <f t="shared" si="4"/>
        <v>-1000</v>
      </c>
      <c r="AC35" s="362">
        <f t="shared" si="4"/>
        <v>-1000</v>
      </c>
      <c r="AD35" s="362">
        <f t="shared" si="4"/>
        <v>-1000</v>
      </c>
      <c r="AE35" s="362">
        <f t="shared" si="4"/>
        <v>-1000</v>
      </c>
      <c r="AF35" s="362">
        <f t="shared" si="4"/>
        <v>-1000</v>
      </c>
      <c r="AG35" s="362">
        <f t="shared" si="4"/>
        <v>-1000</v>
      </c>
      <c r="AH35" s="366">
        <v>39</v>
      </c>
      <c r="AI35" s="369">
        <f t="shared" si="5"/>
        <v>0</v>
      </c>
      <c r="AJ35" s="369">
        <f t="shared" si="5"/>
        <v>0</v>
      </c>
      <c r="AK35" s="369">
        <f t="shared" si="5"/>
        <v>0</v>
      </c>
      <c r="AL35" s="369">
        <f t="shared" si="5"/>
        <v>0</v>
      </c>
      <c r="AM35" s="369">
        <f t="shared" si="5"/>
        <v>0</v>
      </c>
      <c r="AN35" s="369">
        <f t="shared" si="5"/>
        <v>0</v>
      </c>
      <c r="AO35" s="369">
        <f t="shared" si="5"/>
        <v>0</v>
      </c>
      <c r="AP35" s="369">
        <f t="shared" si="5"/>
        <v>0</v>
      </c>
      <c r="AQ35" s="369">
        <f t="shared" si="5"/>
        <v>0</v>
      </c>
      <c r="AR35" s="369">
        <f t="shared" si="5"/>
        <v>0</v>
      </c>
      <c r="AS35" s="369">
        <f t="shared" si="5"/>
        <v>0</v>
      </c>
      <c r="AT35" s="369">
        <f t="shared" si="5"/>
        <v>0</v>
      </c>
      <c r="AU35" s="369">
        <f t="shared" si="5"/>
        <v>0</v>
      </c>
      <c r="AV35" s="369">
        <f t="shared" si="5"/>
        <v>0</v>
      </c>
      <c r="AW35" s="369">
        <f t="shared" si="5"/>
        <v>0</v>
      </c>
    </row>
    <row r="36" spans="1:49" ht="14.25">
      <c r="A36" s="148" t="s">
        <v>166</v>
      </c>
      <c r="B36" s="105">
        <v>10</v>
      </c>
      <c r="C36" s="195"/>
      <c r="D36" s="195"/>
      <c r="E36" s="195"/>
      <c r="F36" s="195"/>
      <c r="G36" s="195"/>
      <c r="H36" s="195"/>
      <c r="I36" s="195"/>
      <c r="J36" s="195"/>
      <c r="K36" s="195"/>
      <c r="L36" s="195"/>
      <c r="M36" s="195"/>
      <c r="N36" s="195"/>
      <c r="O36" s="195"/>
      <c r="P36" s="195"/>
      <c r="Q36" s="195"/>
      <c r="R36" s="359">
        <v>40</v>
      </c>
      <c r="S36" s="362">
        <f t="shared" si="4"/>
        <v>-1000</v>
      </c>
      <c r="T36" s="362">
        <f t="shared" si="4"/>
        <v>-1000</v>
      </c>
      <c r="U36" s="362">
        <f t="shared" si="4"/>
        <v>-1000</v>
      </c>
      <c r="V36" s="362">
        <f t="shared" si="4"/>
        <v>-1000</v>
      </c>
      <c r="W36" s="362">
        <f t="shared" si="4"/>
        <v>-1000</v>
      </c>
      <c r="X36" s="362">
        <f t="shared" si="4"/>
        <v>-1000</v>
      </c>
      <c r="Y36" s="362">
        <f t="shared" si="4"/>
        <v>-1000</v>
      </c>
      <c r="Z36" s="362">
        <f t="shared" si="4"/>
        <v>-1000</v>
      </c>
      <c r="AA36" s="362">
        <f t="shared" si="4"/>
        <v>-1000</v>
      </c>
      <c r="AB36" s="362">
        <f t="shared" si="4"/>
        <v>-1000</v>
      </c>
      <c r="AC36" s="362">
        <f t="shared" si="4"/>
        <v>-1000</v>
      </c>
      <c r="AD36" s="362">
        <f t="shared" si="4"/>
        <v>-1000</v>
      </c>
      <c r="AE36" s="362">
        <f t="shared" si="4"/>
        <v>-1000</v>
      </c>
      <c r="AF36" s="362">
        <f t="shared" si="4"/>
        <v>-1000</v>
      </c>
      <c r="AG36" s="362">
        <f t="shared" si="4"/>
        <v>-1000</v>
      </c>
      <c r="AH36" s="366">
        <v>40</v>
      </c>
      <c r="AI36" s="369">
        <f t="shared" si="5"/>
        <v>0</v>
      </c>
      <c r="AJ36" s="369">
        <f t="shared" si="5"/>
        <v>0</v>
      </c>
      <c r="AK36" s="369">
        <f t="shared" si="5"/>
        <v>0</v>
      </c>
      <c r="AL36" s="369">
        <f t="shared" si="5"/>
        <v>0</v>
      </c>
      <c r="AM36" s="369">
        <f t="shared" si="5"/>
        <v>0</v>
      </c>
      <c r="AN36" s="369">
        <f t="shared" si="5"/>
        <v>0</v>
      </c>
      <c r="AO36" s="369">
        <f t="shared" si="5"/>
        <v>0</v>
      </c>
      <c r="AP36" s="369">
        <f t="shared" si="5"/>
        <v>0</v>
      </c>
      <c r="AQ36" s="369">
        <f t="shared" si="5"/>
        <v>0</v>
      </c>
      <c r="AR36" s="369">
        <f t="shared" si="5"/>
        <v>0</v>
      </c>
      <c r="AS36" s="369">
        <f t="shared" si="5"/>
        <v>0</v>
      </c>
      <c r="AT36" s="369">
        <f t="shared" si="5"/>
        <v>0</v>
      </c>
      <c r="AU36" s="369">
        <f t="shared" si="5"/>
        <v>0</v>
      </c>
      <c r="AV36" s="369">
        <f t="shared" si="5"/>
        <v>0</v>
      </c>
      <c r="AW36" s="369">
        <f t="shared" si="5"/>
        <v>0</v>
      </c>
    </row>
    <row r="37" spans="1:49" ht="14.25">
      <c r="A37" s="148" t="s">
        <v>167</v>
      </c>
      <c r="B37" s="105">
        <v>11</v>
      </c>
      <c r="C37" s="195"/>
      <c r="D37" s="195"/>
      <c r="E37" s="195"/>
      <c r="F37" s="195"/>
      <c r="G37" s="195"/>
      <c r="H37" s="195"/>
      <c r="I37" s="195"/>
      <c r="J37" s="195"/>
      <c r="K37" s="195"/>
      <c r="L37" s="195"/>
      <c r="M37" s="195"/>
      <c r="N37" s="195"/>
      <c r="O37" s="195"/>
      <c r="P37" s="195"/>
      <c r="Q37" s="195"/>
      <c r="R37" s="359">
        <v>41</v>
      </c>
      <c r="S37" s="362">
        <f t="shared" si="4"/>
        <v>-1000</v>
      </c>
      <c r="T37" s="362">
        <f t="shared" si="4"/>
        <v>-1000</v>
      </c>
      <c r="U37" s="362">
        <f t="shared" si="4"/>
        <v>-1000</v>
      </c>
      <c r="V37" s="362">
        <f t="shared" si="4"/>
        <v>-1000</v>
      </c>
      <c r="W37" s="362">
        <f t="shared" si="4"/>
        <v>-1000</v>
      </c>
      <c r="X37" s="362">
        <f t="shared" si="4"/>
        <v>-1000</v>
      </c>
      <c r="Y37" s="362">
        <f t="shared" si="4"/>
        <v>-1000</v>
      </c>
      <c r="Z37" s="362">
        <f t="shared" si="4"/>
        <v>-1000</v>
      </c>
      <c r="AA37" s="362">
        <f t="shared" si="4"/>
        <v>-1000</v>
      </c>
      <c r="AB37" s="362">
        <f t="shared" si="4"/>
        <v>-1000</v>
      </c>
      <c r="AC37" s="362">
        <f t="shared" si="4"/>
        <v>-1000</v>
      </c>
      <c r="AD37" s="362">
        <f t="shared" si="4"/>
        <v>-1000</v>
      </c>
      <c r="AE37" s="362">
        <f t="shared" si="4"/>
        <v>-1000</v>
      </c>
      <c r="AF37" s="362">
        <f t="shared" si="4"/>
        <v>-1000</v>
      </c>
      <c r="AG37" s="362">
        <f t="shared" si="4"/>
        <v>-1000</v>
      </c>
      <c r="AH37" s="366">
        <v>41</v>
      </c>
      <c r="AI37" s="369">
        <f t="shared" si="5"/>
        <v>0</v>
      </c>
      <c r="AJ37" s="369">
        <f t="shared" si="5"/>
        <v>0</v>
      </c>
      <c r="AK37" s="369">
        <f t="shared" si="5"/>
        <v>0</v>
      </c>
      <c r="AL37" s="369">
        <f t="shared" si="5"/>
        <v>0</v>
      </c>
      <c r="AM37" s="369">
        <f t="shared" si="5"/>
        <v>0</v>
      </c>
      <c r="AN37" s="369">
        <f t="shared" si="5"/>
        <v>0</v>
      </c>
      <c r="AO37" s="369">
        <f t="shared" si="5"/>
        <v>0</v>
      </c>
      <c r="AP37" s="369">
        <f t="shared" si="5"/>
        <v>0</v>
      </c>
      <c r="AQ37" s="369">
        <f t="shared" si="5"/>
        <v>0</v>
      </c>
      <c r="AR37" s="369">
        <f t="shared" si="5"/>
        <v>0</v>
      </c>
      <c r="AS37" s="369">
        <f t="shared" si="5"/>
        <v>0</v>
      </c>
      <c r="AT37" s="369">
        <f t="shared" si="5"/>
        <v>0</v>
      </c>
      <c r="AU37" s="369">
        <f t="shared" si="5"/>
        <v>0</v>
      </c>
      <c r="AV37" s="369">
        <f t="shared" si="5"/>
        <v>0</v>
      </c>
      <c r="AW37" s="369">
        <f t="shared" si="5"/>
        <v>0</v>
      </c>
    </row>
    <row r="38" spans="1:49" ht="14.25">
      <c r="A38" s="148" t="s">
        <v>157</v>
      </c>
      <c r="B38" s="105">
        <v>12</v>
      </c>
      <c r="C38" s="195"/>
      <c r="D38" s="195"/>
      <c r="E38" s="195"/>
      <c r="F38" s="195"/>
      <c r="G38" s="195"/>
      <c r="H38" s="195"/>
      <c r="I38" s="195"/>
      <c r="J38" s="195"/>
      <c r="K38" s="195"/>
      <c r="L38" s="195"/>
      <c r="M38" s="195"/>
      <c r="N38" s="195"/>
      <c r="O38" s="195"/>
      <c r="P38" s="195"/>
      <c r="Q38" s="195"/>
      <c r="R38" s="359">
        <v>42</v>
      </c>
      <c r="S38" s="362">
        <f t="shared" si="4"/>
        <v>-1000</v>
      </c>
      <c r="T38" s="362">
        <f t="shared" si="4"/>
        <v>-1000</v>
      </c>
      <c r="U38" s="362">
        <f t="shared" si="4"/>
        <v>-1000</v>
      </c>
      <c r="V38" s="362">
        <f t="shared" si="4"/>
        <v>-1000</v>
      </c>
      <c r="W38" s="362">
        <f t="shared" si="4"/>
        <v>-1000</v>
      </c>
      <c r="X38" s="362">
        <f t="shared" si="4"/>
        <v>-1000</v>
      </c>
      <c r="Y38" s="362">
        <f t="shared" si="4"/>
        <v>-1000</v>
      </c>
      <c r="Z38" s="362">
        <f t="shared" si="4"/>
        <v>-1000</v>
      </c>
      <c r="AA38" s="362">
        <f t="shared" si="4"/>
        <v>-1000</v>
      </c>
      <c r="AB38" s="362">
        <f t="shared" si="4"/>
        <v>-1000</v>
      </c>
      <c r="AC38" s="362">
        <f t="shared" si="4"/>
        <v>-1000</v>
      </c>
      <c r="AD38" s="362">
        <f t="shared" si="4"/>
        <v>-1000</v>
      </c>
      <c r="AE38" s="362">
        <f t="shared" si="4"/>
        <v>-1000</v>
      </c>
      <c r="AF38" s="362">
        <f t="shared" si="4"/>
        <v>-1000</v>
      </c>
      <c r="AG38" s="362">
        <f t="shared" si="4"/>
        <v>-1000</v>
      </c>
      <c r="AH38" s="366">
        <v>42</v>
      </c>
      <c r="AI38" s="369">
        <f t="shared" si="5"/>
        <v>0</v>
      </c>
      <c r="AJ38" s="369">
        <f t="shared" si="5"/>
        <v>0</v>
      </c>
      <c r="AK38" s="369">
        <f t="shared" si="5"/>
        <v>0</v>
      </c>
      <c r="AL38" s="369">
        <f t="shared" si="5"/>
        <v>0</v>
      </c>
      <c r="AM38" s="369">
        <f t="shared" si="5"/>
        <v>0</v>
      </c>
      <c r="AN38" s="369">
        <f t="shared" si="5"/>
        <v>0</v>
      </c>
      <c r="AO38" s="369">
        <f t="shared" si="5"/>
        <v>0</v>
      </c>
      <c r="AP38" s="369">
        <f t="shared" si="5"/>
        <v>0</v>
      </c>
      <c r="AQ38" s="369">
        <f t="shared" si="5"/>
        <v>0</v>
      </c>
      <c r="AR38" s="369">
        <f t="shared" si="5"/>
        <v>0</v>
      </c>
      <c r="AS38" s="369">
        <f t="shared" si="5"/>
        <v>0</v>
      </c>
      <c r="AT38" s="369">
        <f t="shared" si="5"/>
        <v>0</v>
      </c>
      <c r="AU38" s="369">
        <f t="shared" si="5"/>
        <v>0</v>
      </c>
      <c r="AV38" s="369">
        <f t="shared" si="5"/>
        <v>0</v>
      </c>
      <c r="AW38" s="369">
        <f t="shared" si="5"/>
        <v>0</v>
      </c>
    </row>
    <row r="39" spans="1:49" ht="14.25">
      <c r="A39" s="148" t="s">
        <v>168</v>
      </c>
      <c r="B39" s="105">
        <v>13</v>
      </c>
      <c r="C39" s="195"/>
      <c r="D39" s="195"/>
      <c r="E39" s="195"/>
      <c r="F39" s="195"/>
      <c r="G39" s="195"/>
      <c r="H39" s="195"/>
      <c r="I39" s="195"/>
      <c r="J39" s="195"/>
      <c r="K39" s="195"/>
      <c r="L39" s="195"/>
      <c r="M39" s="195"/>
      <c r="N39" s="195"/>
      <c r="O39" s="195"/>
      <c r="P39" s="195"/>
      <c r="Q39" s="195"/>
      <c r="R39" s="359">
        <v>43</v>
      </c>
      <c r="S39" s="362">
        <f t="shared" si="4"/>
        <v>-1000</v>
      </c>
      <c r="T39" s="362">
        <f t="shared" si="4"/>
        <v>-1000</v>
      </c>
      <c r="U39" s="362">
        <f t="shared" si="4"/>
        <v>-1000</v>
      </c>
      <c r="V39" s="362">
        <f t="shared" si="4"/>
        <v>-1000</v>
      </c>
      <c r="W39" s="362">
        <f t="shared" si="4"/>
        <v>-1000</v>
      </c>
      <c r="X39" s="362">
        <f t="shared" si="4"/>
        <v>-1000</v>
      </c>
      <c r="Y39" s="362">
        <f t="shared" si="4"/>
        <v>-1000</v>
      </c>
      <c r="Z39" s="362">
        <f t="shared" si="4"/>
        <v>-1000</v>
      </c>
      <c r="AA39" s="362">
        <f t="shared" si="4"/>
        <v>-1000</v>
      </c>
      <c r="AB39" s="362">
        <f t="shared" si="4"/>
        <v>-1000</v>
      </c>
      <c r="AC39" s="362">
        <f t="shared" si="4"/>
        <v>-1000</v>
      </c>
      <c r="AD39" s="362">
        <f t="shared" si="4"/>
        <v>-1000</v>
      </c>
      <c r="AE39" s="362">
        <f t="shared" si="4"/>
        <v>-1000</v>
      </c>
      <c r="AF39" s="362">
        <f t="shared" si="4"/>
        <v>-1000</v>
      </c>
      <c r="AG39" s="362">
        <f t="shared" si="4"/>
        <v>-1000</v>
      </c>
      <c r="AH39" s="366">
        <v>43</v>
      </c>
      <c r="AI39" s="369">
        <f t="shared" si="5"/>
        <v>0</v>
      </c>
      <c r="AJ39" s="369">
        <f t="shared" si="5"/>
        <v>0</v>
      </c>
      <c r="AK39" s="369">
        <f t="shared" si="5"/>
        <v>0</v>
      </c>
      <c r="AL39" s="369">
        <f t="shared" si="5"/>
        <v>0</v>
      </c>
      <c r="AM39" s="369">
        <f t="shared" si="5"/>
        <v>0</v>
      </c>
      <c r="AN39" s="369">
        <f t="shared" si="5"/>
        <v>0</v>
      </c>
      <c r="AO39" s="369">
        <f t="shared" si="5"/>
        <v>0</v>
      </c>
      <c r="AP39" s="369">
        <f t="shared" si="5"/>
        <v>0</v>
      </c>
      <c r="AQ39" s="369">
        <f t="shared" si="5"/>
        <v>0</v>
      </c>
      <c r="AR39" s="369">
        <f t="shared" si="5"/>
        <v>0</v>
      </c>
      <c r="AS39" s="369">
        <f t="shared" si="5"/>
        <v>0</v>
      </c>
      <c r="AT39" s="369">
        <f t="shared" si="5"/>
        <v>0</v>
      </c>
      <c r="AU39" s="369">
        <f t="shared" si="5"/>
        <v>0</v>
      </c>
      <c r="AV39" s="369">
        <f t="shared" si="5"/>
        <v>0</v>
      </c>
      <c r="AW39" s="369">
        <f t="shared" si="5"/>
        <v>0</v>
      </c>
    </row>
    <row r="40" spans="1:49" ht="14.25">
      <c r="A40" s="148" t="s">
        <v>151</v>
      </c>
      <c r="B40" s="105">
        <v>14</v>
      </c>
      <c r="C40" s="195"/>
      <c r="D40" s="195"/>
      <c r="E40" s="195"/>
      <c r="F40" s="195"/>
      <c r="G40" s="195"/>
      <c r="H40" s="195"/>
      <c r="I40" s="195"/>
      <c r="J40" s="195"/>
      <c r="K40" s="195"/>
      <c r="L40" s="195"/>
      <c r="M40" s="195"/>
      <c r="N40" s="195"/>
      <c r="O40" s="195"/>
      <c r="P40" s="195"/>
      <c r="Q40" s="195"/>
      <c r="R40" s="359">
        <v>44</v>
      </c>
      <c r="S40" s="362">
        <f t="shared" si="4"/>
        <v>-1000</v>
      </c>
      <c r="T40" s="362">
        <f t="shared" si="4"/>
        <v>-1000</v>
      </c>
      <c r="U40" s="362">
        <f t="shared" si="4"/>
        <v>-1000</v>
      </c>
      <c r="V40" s="362">
        <f t="shared" si="4"/>
        <v>-1000</v>
      </c>
      <c r="W40" s="362">
        <f t="shared" si="4"/>
        <v>-1000</v>
      </c>
      <c r="X40" s="362">
        <f t="shared" si="4"/>
        <v>-1000</v>
      </c>
      <c r="Y40" s="362">
        <f t="shared" si="4"/>
        <v>-1000</v>
      </c>
      <c r="Z40" s="362">
        <f t="shared" si="4"/>
        <v>-1000</v>
      </c>
      <c r="AA40" s="362">
        <f t="shared" si="4"/>
        <v>-1000</v>
      </c>
      <c r="AB40" s="362">
        <f t="shared" si="4"/>
        <v>-1000</v>
      </c>
      <c r="AC40" s="362">
        <f t="shared" si="4"/>
        <v>-1000</v>
      </c>
      <c r="AD40" s="362">
        <f t="shared" si="4"/>
        <v>-1000</v>
      </c>
      <c r="AE40" s="362">
        <f t="shared" si="4"/>
        <v>-1000</v>
      </c>
      <c r="AF40" s="362">
        <f t="shared" si="4"/>
        <v>-1000</v>
      </c>
      <c r="AG40" s="362">
        <f t="shared" si="4"/>
        <v>-1000</v>
      </c>
      <c r="AH40" s="366">
        <v>44</v>
      </c>
      <c r="AI40" s="369">
        <f t="shared" si="5"/>
        <v>0</v>
      </c>
      <c r="AJ40" s="369">
        <f t="shared" si="5"/>
        <v>0</v>
      </c>
      <c r="AK40" s="369">
        <f t="shared" si="5"/>
        <v>0</v>
      </c>
      <c r="AL40" s="369">
        <f t="shared" si="5"/>
        <v>0</v>
      </c>
      <c r="AM40" s="369">
        <f t="shared" si="5"/>
        <v>0</v>
      </c>
      <c r="AN40" s="369">
        <f t="shared" si="5"/>
        <v>0</v>
      </c>
      <c r="AO40" s="369">
        <f t="shared" si="5"/>
        <v>0</v>
      </c>
      <c r="AP40" s="369">
        <f t="shared" si="5"/>
        <v>0</v>
      </c>
      <c r="AQ40" s="369">
        <f t="shared" si="5"/>
        <v>0</v>
      </c>
      <c r="AR40" s="369">
        <f t="shared" si="5"/>
        <v>0</v>
      </c>
      <c r="AS40" s="369">
        <f t="shared" si="5"/>
        <v>0</v>
      </c>
      <c r="AT40" s="369">
        <f t="shared" si="5"/>
        <v>0</v>
      </c>
      <c r="AU40" s="369">
        <f t="shared" si="5"/>
        <v>0</v>
      </c>
      <c r="AV40" s="369">
        <f t="shared" si="5"/>
        <v>0</v>
      </c>
      <c r="AW40" s="369">
        <f t="shared" si="5"/>
        <v>0</v>
      </c>
    </row>
    <row r="41" spans="1:49" ht="14.25">
      <c r="A41" s="148" t="s">
        <v>34</v>
      </c>
      <c r="B41" s="105">
        <v>15</v>
      </c>
      <c r="C41" s="195"/>
      <c r="D41" s="195"/>
      <c r="E41" s="195"/>
      <c r="F41" s="195"/>
      <c r="G41" s="195"/>
      <c r="H41" s="195"/>
      <c r="I41" s="195"/>
      <c r="J41" s="195"/>
      <c r="K41" s="195"/>
      <c r="L41" s="195"/>
      <c r="M41" s="195"/>
      <c r="N41" s="195"/>
      <c r="O41" s="195"/>
      <c r="P41" s="195"/>
      <c r="Q41" s="195"/>
      <c r="R41" s="359">
        <v>45</v>
      </c>
      <c r="S41" s="362">
        <f t="shared" si="4"/>
        <v>-1000</v>
      </c>
      <c r="T41" s="362">
        <f t="shared" si="4"/>
        <v>-1000</v>
      </c>
      <c r="U41" s="362">
        <f t="shared" si="4"/>
        <v>-1000</v>
      </c>
      <c r="V41" s="362">
        <f t="shared" si="4"/>
        <v>-1000</v>
      </c>
      <c r="W41" s="362">
        <f t="shared" si="4"/>
        <v>-1000</v>
      </c>
      <c r="X41" s="362">
        <f t="shared" si="4"/>
        <v>-1000</v>
      </c>
      <c r="Y41" s="362">
        <f t="shared" si="4"/>
        <v>-1000</v>
      </c>
      <c r="Z41" s="362">
        <f t="shared" si="4"/>
        <v>-1000</v>
      </c>
      <c r="AA41" s="362">
        <f t="shared" si="4"/>
        <v>-1000</v>
      </c>
      <c r="AB41" s="362">
        <f t="shared" si="4"/>
        <v>-1000</v>
      </c>
      <c r="AC41" s="362">
        <f t="shared" si="4"/>
        <v>-1000</v>
      </c>
      <c r="AD41" s="362">
        <f t="shared" si="4"/>
        <v>-1000</v>
      </c>
      <c r="AE41" s="362">
        <f t="shared" si="4"/>
        <v>-1000</v>
      </c>
      <c r="AF41" s="362">
        <f t="shared" si="4"/>
        <v>-1000</v>
      </c>
      <c r="AG41" s="362">
        <f t="shared" si="4"/>
        <v>-1000</v>
      </c>
      <c r="AH41" s="366">
        <v>45</v>
      </c>
      <c r="AI41" s="369">
        <f t="shared" si="5"/>
        <v>0</v>
      </c>
      <c r="AJ41" s="369">
        <f t="shared" si="5"/>
        <v>0</v>
      </c>
      <c r="AK41" s="369">
        <f t="shared" si="5"/>
        <v>0</v>
      </c>
      <c r="AL41" s="369">
        <f t="shared" si="5"/>
        <v>0</v>
      </c>
      <c r="AM41" s="369">
        <f t="shared" si="5"/>
        <v>0</v>
      </c>
      <c r="AN41" s="369">
        <f t="shared" si="5"/>
        <v>0</v>
      </c>
      <c r="AO41" s="369">
        <f t="shared" si="5"/>
        <v>0</v>
      </c>
      <c r="AP41" s="369">
        <f t="shared" si="5"/>
        <v>0</v>
      </c>
      <c r="AQ41" s="369">
        <f t="shared" si="5"/>
        <v>0</v>
      </c>
      <c r="AR41" s="369">
        <f t="shared" si="5"/>
        <v>0</v>
      </c>
      <c r="AS41" s="369">
        <f t="shared" si="5"/>
        <v>0</v>
      </c>
      <c r="AT41" s="369">
        <f t="shared" si="5"/>
        <v>0</v>
      </c>
      <c r="AU41" s="369">
        <f t="shared" si="5"/>
        <v>0</v>
      </c>
      <c r="AV41" s="369">
        <f t="shared" si="5"/>
        <v>0</v>
      </c>
      <c r="AW41" s="369">
        <f t="shared" si="5"/>
        <v>0</v>
      </c>
    </row>
    <row r="42" spans="1:49" ht="14.25">
      <c r="A42" s="148" t="s">
        <v>117</v>
      </c>
      <c r="B42" s="105">
        <v>16</v>
      </c>
      <c r="C42" s="195"/>
      <c r="D42" s="195"/>
      <c r="E42" s="195"/>
      <c r="F42" s="195"/>
      <c r="G42" s="195"/>
      <c r="H42" s="195"/>
      <c r="I42" s="195"/>
      <c r="J42" s="195"/>
      <c r="K42" s="195"/>
      <c r="L42" s="195"/>
      <c r="M42" s="195"/>
      <c r="N42" s="195"/>
      <c r="O42" s="195"/>
      <c r="P42" s="195"/>
      <c r="Q42" s="195"/>
      <c r="R42" s="359">
        <v>46</v>
      </c>
      <c r="S42" s="362">
        <f t="shared" si="4"/>
        <v>-1000</v>
      </c>
      <c r="T42" s="362">
        <f t="shared" si="4"/>
        <v>-1000</v>
      </c>
      <c r="U42" s="362">
        <f t="shared" si="4"/>
        <v>-1000</v>
      </c>
      <c r="V42" s="362">
        <f t="shared" si="4"/>
        <v>-1000</v>
      </c>
      <c r="W42" s="362">
        <f t="shared" si="4"/>
        <v>-1000</v>
      </c>
      <c r="X42" s="362">
        <f t="shared" si="4"/>
        <v>-1000</v>
      </c>
      <c r="Y42" s="362">
        <f t="shared" si="4"/>
        <v>-1000</v>
      </c>
      <c r="Z42" s="362">
        <f t="shared" si="4"/>
        <v>-1000</v>
      </c>
      <c r="AA42" s="362">
        <f t="shared" si="4"/>
        <v>-1000</v>
      </c>
      <c r="AB42" s="362">
        <f t="shared" si="4"/>
        <v>-1000</v>
      </c>
      <c r="AC42" s="362">
        <f t="shared" si="4"/>
        <v>-1000</v>
      </c>
      <c r="AD42" s="362">
        <f t="shared" si="4"/>
        <v>-1000</v>
      </c>
      <c r="AE42" s="362">
        <f t="shared" si="4"/>
        <v>-1000</v>
      </c>
      <c r="AF42" s="362">
        <f t="shared" si="4"/>
        <v>-1000</v>
      </c>
      <c r="AG42" s="362">
        <f t="shared" si="4"/>
        <v>-1000</v>
      </c>
      <c r="AH42" s="366">
        <v>46</v>
      </c>
      <c r="AI42" s="369">
        <f t="shared" si="5"/>
        <v>0</v>
      </c>
      <c r="AJ42" s="369">
        <f t="shared" si="5"/>
        <v>0</v>
      </c>
      <c r="AK42" s="369">
        <f t="shared" si="5"/>
        <v>0</v>
      </c>
      <c r="AL42" s="369">
        <f t="shared" si="5"/>
        <v>0</v>
      </c>
      <c r="AM42" s="369">
        <f t="shared" si="5"/>
        <v>0</v>
      </c>
      <c r="AN42" s="369">
        <f t="shared" si="5"/>
        <v>0</v>
      </c>
      <c r="AO42" s="369">
        <f t="shared" si="5"/>
        <v>0</v>
      </c>
      <c r="AP42" s="369">
        <f t="shared" si="5"/>
        <v>0</v>
      </c>
      <c r="AQ42" s="369">
        <f t="shared" si="5"/>
        <v>0</v>
      </c>
      <c r="AR42" s="369">
        <f t="shared" si="5"/>
        <v>0</v>
      </c>
      <c r="AS42" s="369">
        <f t="shared" si="5"/>
        <v>0</v>
      </c>
      <c r="AT42" s="369">
        <f t="shared" si="5"/>
        <v>0</v>
      </c>
      <c r="AU42" s="369">
        <f t="shared" si="5"/>
        <v>0</v>
      </c>
      <c r="AV42" s="369">
        <f t="shared" si="5"/>
        <v>0</v>
      </c>
      <c r="AW42" s="369">
        <f t="shared" si="5"/>
        <v>0</v>
      </c>
    </row>
    <row r="43" spans="1:49" ht="14.25">
      <c r="A43" s="148" t="s">
        <v>170</v>
      </c>
      <c r="B43" s="105">
        <v>17</v>
      </c>
      <c r="C43" s="195"/>
      <c r="D43" s="195"/>
      <c r="E43" s="195"/>
      <c r="F43" s="195"/>
      <c r="G43" s="195"/>
      <c r="H43" s="195"/>
      <c r="I43" s="195"/>
      <c r="J43" s="195"/>
      <c r="K43" s="195"/>
      <c r="L43" s="195"/>
      <c r="M43" s="195"/>
      <c r="N43" s="195"/>
      <c r="O43" s="195"/>
      <c r="P43" s="195"/>
      <c r="Q43" s="195"/>
      <c r="R43" s="359">
        <v>47</v>
      </c>
      <c r="S43" s="362">
        <f t="shared" si="4"/>
        <v>-1000</v>
      </c>
      <c r="T43" s="362">
        <f t="shared" si="4"/>
        <v>-1000</v>
      </c>
      <c r="U43" s="362">
        <f t="shared" si="4"/>
        <v>-1000</v>
      </c>
      <c r="V43" s="362">
        <f t="shared" si="4"/>
        <v>-1000</v>
      </c>
      <c r="W43" s="362">
        <f t="shared" si="4"/>
        <v>-1000</v>
      </c>
      <c r="X43" s="362">
        <f t="shared" si="4"/>
        <v>-1000</v>
      </c>
      <c r="Y43" s="362">
        <f t="shared" si="4"/>
        <v>-1000</v>
      </c>
      <c r="Z43" s="362">
        <f t="shared" si="4"/>
        <v>-1000</v>
      </c>
      <c r="AA43" s="362">
        <f t="shared" si="4"/>
        <v>-1000</v>
      </c>
      <c r="AB43" s="362">
        <f t="shared" si="4"/>
        <v>-1000</v>
      </c>
      <c r="AC43" s="362">
        <f t="shared" si="4"/>
        <v>-1000</v>
      </c>
      <c r="AD43" s="362">
        <f t="shared" si="4"/>
        <v>-1000</v>
      </c>
      <c r="AE43" s="362">
        <f t="shared" si="4"/>
        <v>-1000</v>
      </c>
      <c r="AF43" s="362">
        <f t="shared" si="4"/>
        <v>-1000</v>
      </c>
      <c r="AG43" s="362">
        <f t="shared" si="4"/>
        <v>-1000</v>
      </c>
      <c r="AH43" s="366">
        <v>47</v>
      </c>
      <c r="AI43" s="369">
        <f t="shared" si="5"/>
        <v>0</v>
      </c>
      <c r="AJ43" s="369">
        <f t="shared" si="5"/>
        <v>0</v>
      </c>
      <c r="AK43" s="369">
        <f t="shared" si="5"/>
        <v>0</v>
      </c>
      <c r="AL43" s="369">
        <f t="shared" si="5"/>
        <v>0</v>
      </c>
      <c r="AM43" s="369">
        <f t="shared" si="5"/>
        <v>0</v>
      </c>
      <c r="AN43" s="369">
        <f t="shared" si="5"/>
        <v>0</v>
      </c>
      <c r="AO43" s="369">
        <f t="shared" si="5"/>
        <v>0</v>
      </c>
      <c r="AP43" s="369">
        <f t="shared" si="5"/>
        <v>0</v>
      </c>
      <c r="AQ43" s="369">
        <f t="shared" si="5"/>
        <v>0</v>
      </c>
      <c r="AR43" s="369">
        <f t="shared" si="5"/>
        <v>0</v>
      </c>
      <c r="AS43" s="369">
        <f t="shared" si="5"/>
        <v>0</v>
      </c>
      <c r="AT43" s="369">
        <f t="shared" si="5"/>
        <v>0</v>
      </c>
      <c r="AU43" s="369">
        <f t="shared" si="5"/>
        <v>0</v>
      </c>
      <c r="AV43" s="369">
        <f t="shared" si="5"/>
        <v>0</v>
      </c>
      <c r="AW43" s="369">
        <f t="shared" si="5"/>
        <v>0</v>
      </c>
    </row>
    <row r="44" spans="1:49" ht="14.25">
      <c r="A44" s="148" t="s">
        <v>171</v>
      </c>
      <c r="B44" s="105">
        <v>18</v>
      </c>
      <c r="C44" s="195"/>
      <c r="D44" s="195"/>
      <c r="E44" s="195"/>
      <c r="F44" s="195"/>
      <c r="G44" s="195"/>
      <c r="H44" s="195"/>
      <c r="I44" s="195"/>
      <c r="J44" s="195"/>
      <c r="K44" s="195"/>
      <c r="L44" s="195"/>
      <c r="M44" s="195"/>
      <c r="N44" s="195"/>
      <c r="O44" s="195"/>
      <c r="P44" s="195"/>
      <c r="Q44" s="195"/>
      <c r="R44" s="359">
        <v>48</v>
      </c>
      <c r="S44" s="362">
        <f t="shared" si="4"/>
        <v>-1000</v>
      </c>
      <c r="T44" s="362">
        <f t="shared" si="4"/>
        <v>-1000</v>
      </c>
      <c r="U44" s="362">
        <f t="shared" si="4"/>
        <v>-1000</v>
      </c>
      <c r="V44" s="362">
        <f t="shared" si="4"/>
        <v>-1000</v>
      </c>
      <c r="W44" s="362">
        <f t="shared" si="4"/>
        <v>-1000</v>
      </c>
      <c r="X44" s="362">
        <f t="shared" si="4"/>
        <v>-1000</v>
      </c>
      <c r="Y44" s="362">
        <f t="shared" si="4"/>
        <v>-1000</v>
      </c>
      <c r="Z44" s="362">
        <f t="shared" si="4"/>
        <v>-1000</v>
      </c>
      <c r="AA44" s="362">
        <f t="shared" si="4"/>
        <v>-1000</v>
      </c>
      <c r="AB44" s="362">
        <f t="shared" si="4"/>
        <v>-1000</v>
      </c>
      <c r="AC44" s="362">
        <f t="shared" si="4"/>
        <v>-1000</v>
      </c>
      <c r="AD44" s="362">
        <f t="shared" si="4"/>
        <v>-1000</v>
      </c>
      <c r="AE44" s="362">
        <f t="shared" si="4"/>
        <v>-1000</v>
      </c>
      <c r="AF44" s="362">
        <f t="shared" si="4"/>
        <v>-1000</v>
      </c>
      <c r="AG44" s="362">
        <f t="shared" si="4"/>
        <v>-1000</v>
      </c>
      <c r="AH44" s="366">
        <v>48</v>
      </c>
      <c r="AI44" s="369">
        <f t="shared" si="5"/>
        <v>0</v>
      </c>
      <c r="AJ44" s="369">
        <f t="shared" si="5"/>
        <v>0</v>
      </c>
      <c r="AK44" s="369">
        <f t="shared" si="5"/>
        <v>0</v>
      </c>
      <c r="AL44" s="369">
        <f t="shared" si="5"/>
        <v>0</v>
      </c>
      <c r="AM44" s="369">
        <f t="shared" si="5"/>
        <v>0</v>
      </c>
      <c r="AN44" s="369">
        <f t="shared" si="5"/>
        <v>0</v>
      </c>
      <c r="AO44" s="369">
        <f t="shared" si="5"/>
        <v>0</v>
      </c>
      <c r="AP44" s="369">
        <f t="shared" si="5"/>
        <v>0</v>
      </c>
      <c r="AQ44" s="369">
        <f t="shared" si="5"/>
        <v>0</v>
      </c>
      <c r="AR44" s="369">
        <f t="shared" si="5"/>
        <v>0</v>
      </c>
      <c r="AS44" s="369">
        <f t="shared" si="5"/>
        <v>0</v>
      </c>
      <c r="AT44" s="369">
        <f t="shared" si="5"/>
        <v>0</v>
      </c>
      <c r="AU44" s="369">
        <f t="shared" si="5"/>
        <v>0</v>
      </c>
      <c r="AV44" s="369">
        <f t="shared" si="5"/>
        <v>0</v>
      </c>
      <c r="AW44" s="369">
        <f t="shared" si="5"/>
        <v>0</v>
      </c>
    </row>
    <row r="45" spans="1:49">
      <c r="P45" s="358"/>
      <c r="Q45" s="358"/>
      <c r="R45" s="358"/>
      <c r="S45" s="358"/>
      <c r="T45" s="358"/>
      <c r="U45" s="358"/>
      <c r="V45" s="358"/>
      <c r="W45" s="358"/>
      <c r="X45" s="358"/>
      <c r="Y45" s="358"/>
      <c r="Z45" s="358"/>
      <c r="AA45" s="358"/>
      <c r="AC45" s="358"/>
      <c r="AD45" s="358"/>
      <c r="AE45" s="358"/>
      <c r="AF45" s="358"/>
      <c r="AG45" s="358"/>
      <c r="AH45" s="358"/>
      <c r="AI45" s="358"/>
      <c r="AJ45" s="358"/>
      <c r="AK45" s="358"/>
      <c r="AL45" s="358"/>
      <c r="AM45" s="358"/>
      <c r="AN45" s="358"/>
    </row>
  </sheetData>
  <mergeCells count="15">
    <mergeCell ref="C21:E21"/>
    <mergeCell ref="F21:H21"/>
    <mergeCell ref="I21:K21"/>
    <mergeCell ref="L21:N21"/>
    <mergeCell ref="O21:Q21"/>
    <mergeCell ref="S24:U24"/>
    <mergeCell ref="V24:X24"/>
    <mergeCell ref="Y24:AA24"/>
    <mergeCell ref="AB24:AD24"/>
    <mergeCell ref="AE24:AG24"/>
    <mergeCell ref="AI24:AK24"/>
    <mergeCell ref="AL24:AN24"/>
    <mergeCell ref="AO24:AQ24"/>
    <mergeCell ref="AR24:AT24"/>
    <mergeCell ref="AU24:AW24"/>
  </mergeCells>
  <phoneticPr fontId="2"/>
  <pageMargins left="0.7" right="0.7" top="0.75" bottom="0.75" header="0.3" footer="0.3"/>
  <pageSetup paperSize="9" scale="37" fitToWidth="1" fitToHeight="0" orientation="landscape"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2:O33"/>
  <sheetViews>
    <sheetView topLeftCell="A9" workbookViewId="0">
      <selection activeCell="B2" sqref="B2"/>
    </sheetView>
  </sheetViews>
  <sheetFormatPr defaultRowHeight="13.5"/>
  <cols>
    <col min="1" max="1" width="12.75" style="96" customWidth="1"/>
    <col min="2" max="4" width="9" style="96" customWidth="1"/>
    <col min="5" max="5" width="11.125" style="96" bestFit="1" customWidth="1"/>
    <col min="6" max="16384" width="9" style="96" customWidth="1"/>
  </cols>
  <sheetData>
    <row r="1" spans="1:15" ht="14.25"/>
    <row r="2" spans="1:15" ht="14.25">
      <c r="A2" s="97" t="s">
        <v>189</v>
      </c>
      <c r="B2" s="100"/>
      <c r="C2" s="100"/>
      <c r="D2" s="100"/>
      <c r="E2" s="195"/>
      <c r="F2" s="100" t="s">
        <v>190</v>
      </c>
      <c r="G2" s="100"/>
      <c r="H2" s="100"/>
      <c r="I2" s="100"/>
      <c r="J2" s="100"/>
      <c r="K2" s="100"/>
      <c r="L2" s="100"/>
      <c r="M2" s="100"/>
      <c r="N2" s="100"/>
      <c r="O2" s="145"/>
    </row>
    <row r="3" spans="1:15">
      <c r="A3" s="99"/>
      <c r="B3" s="101"/>
      <c r="C3" s="101"/>
      <c r="D3" s="101"/>
      <c r="E3" s="101"/>
      <c r="F3" s="101" t="s">
        <v>142</v>
      </c>
      <c r="G3" s="101"/>
      <c r="H3" s="101"/>
      <c r="I3" s="101"/>
      <c r="J3" s="101"/>
      <c r="K3" s="101"/>
      <c r="L3" s="101"/>
      <c r="M3" s="101"/>
      <c r="N3" s="101"/>
      <c r="O3" s="147"/>
    </row>
    <row r="5" spans="1:15" ht="14.25"/>
    <row r="6" spans="1:15" ht="14.25">
      <c r="A6" s="215" t="s">
        <v>123</v>
      </c>
      <c r="B6" s="215">
        <v>7</v>
      </c>
    </row>
    <row r="8" spans="1:15">
      <c r="A8" s="274" t="s">
        <v>93</v>
      </c>
      <c r="B8" s="281" t="s">
        <v>125</v>
      </c>
      <c r="C8" s="281" t="s">
        <v>126</v>
      </c>
      <c r="D8" s="294" t="s">
        <v>127</v>
      </c>
    </row>
    <row r="9" spans="1:15" ht="14.25">
      <c r="A9" s="275">
        <f>B6</f>
        <v>7</v>
      </c>
      <c r="B9" s="282">
        <f>VLOOKUP(B6,A17:D33,2)</f>
        <v>660000</v>
      </c>
      <c r="C9" s="282">
        <f>VLOOKUP(B6,A17:D33,3)</f>
        <v>260000</v>
      </c>
      <c r="D9" s="282">
        <f>VLOOKUP(B6,A17:D33,4)</f>
        <v>170000</v>
      </c>
    </row>
    <row r="10" spans="1:15" ht="14.25"/>
    <row r="11" spans="1:15">
      <c r="A11" s="372"/>
      <c r="B11" s="376" t="s">
        <v>125</v>
      </c>
      <c r="C11" s="376" t="s">
        <v>126</v>
      </c>
      <c r="D11" s="378" t="s">
        <v>127</v>
      </c>
    </row>
    <row r="12" spans="1:15" ht="14.25">
      <c r="A12" s="373" t="s">
        <v>191</v>
      </c>
      <c r="B12" s="377">
        <f>'④所得割'!H17+'⑤平等割'!H9+'⑥均等割'!K15</f>
        <v>0</v>
      </c>
      <c r="C12" s="377">
        <f>'④所得割'!J17+'⑤平等割'!I9+'⑥均等割'!L15</f>
        <v>0</v>
      </c>
      <c r="D12" s="379">
        <f>'④所得割'!L17+'⑤平等割'!J9+'⑥均等割'!M15</f>
        <v>0</v>
      </c>
      <c r="E12" s="380" t="s">
        <v>193</v>
      </c>
    </row>
    <row r="13" spans="1:15" ht="14.25">
      <c r="A13" s="374" t="s">
        <v>194</v>
      </c>
      <c r="B13" s="164">
        <f>INT(IF(B12&gt;B9,B9,B12)/10)*10</f>
        <v>0</v>
      </c>
      <c r="C13" s="164">
        <f>INT(IF(C12&gt;C9,C9,C12)/10)*10</f>
        <v>0</v>
      </c>
      <c r="D13" s="164">
        <f>INT(IF(D12&gt;D9,D9,D12)/10)*10</f>
        <v>0</v>
      </c>
      <c r="E13" s="381">
        <f>SUM(B13:D13)</f>
        <v>0</v>
      </c>
    </row>
    <row r="15" spans="1:15">
      <c r="A15" s="375" t="s">
        <v>80</v>
      </c>
      <c r="B15" s="375"/>
      <c r="C15" s="375"/>
      <c r="D15" s="375"/>
    </row>
    <row r="16" spans="1:15" ht="14.25">
      <c r="A16" s="103" t="s">
        <v>68</v>
      </c>
      <c r="B16" s="102" t="s">
        <v>16</v>
      </c>
      <c r="C16" s="102" t="s">
        <v>126</v>
      </c>
      <c r="D16" s="102" t="s">
        <v>127</v>
      </c>
    </row>
    <row r="17" spans="1:4" ht="14.25">
      <c r="A17" s="105">
        <v>2</v>
      </c>
      <c r="B17" s="311">
        <v>610000</v>
      </c>
      <c r="C17" s="311">
        <v>190000</v>
      </c>
      <c r="D17" s="311">
        <v>160000</v>
      </c>
    </row>
    <row r="18" spans="1:4" ht="14.25">
      <c r="A18" s="105">
        <v>3</v>
      </c>
      <c r="B18" s="311">
        <v>630000</v>
      </c>
      <c r="C18" s="311">
        <v>190000</v>
      </c>
      <c r="D18" s="311">
        <v>170000</v>
      </c>
    </row>
    <row r="19" spans="1:4" ht="14.25">
      <c r="A19" s="105">
        <v>4</v>
      </c>
      <c r="B19" s="311">
        <v>650000</v>
      </c>
      <c r="C19" s="311">
        <v>200000</v>
      </c>
      <c r="D19" s="311">
        <v>170000</v>
      </c>
    </row>
    <row r="20" spans="1:4" ht="14.25">
      <c r="A20" s="105">
        <v>5</v>
      </c>
      <c r="B20" s="312">
        <v>650000</v>
      </c>
      <c r="C20" s="312">
        <v>220000</v>
      </c>
      <c r="D20" s="312">
        <v>170000</v>
      </c>
    </row>
    <row r="21" spans="1:4" ht="14.25">
      <c r="A21" s="105">
        <v>6</v>
      </c>
      <c r="B21" s="312">
        <v>650000</v>
      </c>
      <c r="C21" s="312">
        <v>240000</v>
      </c>
      <c r="D21" s="312">
        <v>170000</v>
      </c>
    </row>
    <row r="22" spans="1:4" ht="14.25">
      <c r="A22" s="105">
        <v>7</v>
      </c>
      <c r="B22" s="311">
        <v>660000</v>
      </c>
      <c r="C22" s="311">
        <v>260000</v>
      </c>
      <c r="D22" s="311">
        <v>170000</v>
      </c>
    </row>
    <row r="23" spans="1:4" ht="14.25">
      <c r="A23" s="105">
        <v>8</v>
      </c>
      <c r="B23" s="311"/>
      <c r="C23" s="311"/>
      <c r="D23" s="311"/>
    </row>
    <row r="24" spans="1:4" ht="14.25">
      <c r="A24" s="105">
        <v>9</v>
      </c>
      <c r="B24" s="311"/>
      <c r="C24" s="311"/>
      <c r="D24" s="311"/>
    </row>
    <row r="25" spans="1:4" ht="14.25">
      <c r="A25" s="105">
        <v>10</v>
      </c>
      <c r="B25" s="311"/>
      <c r="C25" s="311"/>
      <c r="D25" s="311"/>
    </row>
    <row r="26" spans="1:4" ht="14.25">
      <c r="A26" s="105">
        <v>11</v>
      </c>
      <c r="B26" s="311"/>
      <c r="C26" s="311"/>
      <c r="D26" s="311"/>
    </row>
    <row r="27" spans="1:4" ht="14.25">
      <c r="A27" s="105">
        <v>12</v>
      </c>
      <c r="B27" s="311"/>
      <c r="C27" s="311"/>
      <c r="D27" s="311"/>
    </row>
    <row r="28" spans="1:4" ht="14.25">
      <c r="A28" s="105">
        <v>13</v>
      </c>
      <c r="B28" s="311"/>
      <c r="C28" s="311"/>
      <c r="D28" s="311"/>
    </row>
    <row r="29" spans="1:4" ht="14.25">
      <c r="A29" s="105">
        <v>14</v>
      </c>
      <c r="B29" s="311"/>
      <c r="C29" s="311"/>
      <c r="D29" s="311"/>
    </row>
    <row r="30" spans="1:4" ht="14.25">
      <c r="A30" s="105">
        <v>15</v>
      </c>
      <c r="B30" s="311"/>
      <c r="C30" s="311"/>
      <c r="D30" s="311"/>
    </row>
    <row r="31" spans="1:4" ht="14.25">
      <c r="A31" s="105">
        <v>16</v>
      </c>
      <c r="B31" s="311"/>
      <c r="C31" s="311"/>
      <c r="D31" s="311"/>
    </row>
    <row r="32" spans="1:4" ht="14.25">
      <c r="A32" s="105">
        <v>17</v>
      </c>
      <c r="B32" s="311"/>
      <c r="C32" s="311"/>
      <c r="D32" s="311"/>
    </row>
    <row r="33" spans="1:4" ht="14.25">
      <c r="A33" s="105">
        <v>18</v>
      </c>
      <c r="B33" s="311"/>
      <c r="C33" s="311"/>
      <c r="D33" s="311"/>
    </row>
  </sheetData>
  <phoneticPr fontId="2"/>
  <pageMargins left="0.7" right="0.7" top="0.75" bottom="0.75" header="0.3" footer="0.3"/>
  <pageSetup paperSize="9" scale="96"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9</vt:i4>
      </vt:variant>
    </vt:vector>
  </HeadingPairs>
  <TitlesOfParts>
    <vt:vector size="9" baseType="lpstr">
      <vt:lpstr>Sheet1</vt:lpstr>
      <vt:lpstr>保険料計算</vt:lpstr>
      <vt:lpstr>①給与所得</vt:lpstr>
      <vt:lpstr>②公的年金所得</vt:lpstr>
      <vt:lpstr>③軽減判定</vt:lpstr>
      <vt:lpstr>④所得割</vt:lpstr>
      <vt:lpstr>⑤平等割</vt:lpstr>
      <vt:lpstr>⑥均等割</vt:lpstr>
      <vt:lpstr>⑦賦課限度額</vt:lpstr>
    </vt:vector>
  </TitlesOfParts>
  <Company>旭川市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kokuho017</dc:creator>
  <cp:lastModifiedBy>kokuho017</cp:lastModifiedBy>
  <cp:lastPrinted>2022-06-24T02:18:30Z</cp:lastPrinted>
  <dcterms:created xsi:type="dcterms:W3CDTF">2022-06-21T23:45:45Z</dcterms:created>
  <dcterms:modified xsi:type="dcterms:W3CDTF">2025-06-12T09:24:00Z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2025-06-12T09:24:00Z</vt:filetime>
  </property>
</Properties>
</file>