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5880" activeTab="0"/>
  </bookViews>
  <sheets>
    <sheet name="127" sheetId="1" r:id="rId1"/>
    <sheet name="127つづき" sheetId="2" r:id="rId2"/>
  </sheets>
  <definedNames>
    <definedName name="_xlnm.Print_Area" localSheetId="0">'127'!$A$1:$X$52</definedName>
    <definedName name="_xlnm.Print_Area" localSheetId="1">'127つづき'!$A$1:$X$25</definedName>
  </definedNames>
  <calcPr fullCalcOnLoad="1"/>
</workbook>
</file>

<file path=xl/sharedStrings.xml><?xml version="1.0" encoding="utf-8"?>
<sst xmlns="http://schemas.openxmlformats.org/spreadsheetml/2006/main" count="235" uniqueCount="65">
  <si>
    <t>単位　件・日・金額：千円</t>
  </si>
  <si>
    <t>年　　　度</t>
  </si>
  <si>
    <t>件　数</t>
  </si>
  <si>
    <t>療　　　　養　　　　の　　　　給　　　　付　　　　等　（老人は医療の給付等）</t>
  </si>
  <si>
    <t>（世帯）</t>
  </si>
  <si>
    <t xml:space="preserve">保険料        調定額         </t>
  </si>
  <si>
    <t xml:space="preserve"> （現年度分）</t>
  </si>
  <si>
    <t>受診率</t>
  </si>
  <si>
    <t>（％）</t>
  </si>
  <si>
    <t>（円）</t>
  </si>
  <si>
    <t>日　数</t>
  </si>
  <si>
    <t>費 用 額</t>
  </si>
  <si>
    <t xml:space="preserve">年間平均
老人保健
医療給付
対象者数      </t>
  </si>
  <si>
    <t>1件当たり
診療費
費用額　　</t>
  </si>
  <si>
    <t>1人当たり
診療費費用額</t>
  </si>
  <si>
    <t>件　　　数</t>
  </si>
  <si>
    <t>費　用　額</t>
  </si>
  <si>
    <t>療　　　　養　　　　の　　　　給　　　　付</t>
  </si>
  <si>
    <t>注1　上段は，若人分。中段は，老人分。下段は，退職分である。</t>
  </si>
  <si>
    <t xml:space="preserve">   2　中段の老人分は，3月～2月分ベースである。</t>
  </si>
  <si>
    <t>療　　　　養　　　　の　　　　給　　　　付　　　　（つづき）</t>
  </si>
  <si>
    <t>療　　　　　　養　　　　　　の　　　　　　給　　　　　　付　　　　</t>
  </si>
  <si>
    <t>保険者負担
額（再掲）</t>
  </si>
  <si>
    <t>年間平均
被保険者数
(3月～翌2月ﾍﾞｰｽ）</t>
  </si>
  <si>
    <t>療　　養　　諸　　費　　費　　用　　額
Ａ＋Ｂ</t>
  </si>
  <si>
    <t>等　　　　　　（　つ　づ　き　）</t>
  </si>
  <si>
    <t xml:space="preserve">年間平均
被保険者            </t>
  </si>
  <si>
    <t>-</t>
  </si>
  <si>
    <t>（人）</t>
  </si>
  <si>
    <t>（円）</t>
  </si>
  <si>
    <t>-</t>
  </si>
  <si>
    <r>
      <t>療　　養　　の　　給　　付　　等
Ａ ＝</t>
    </r>
    <r>
      <rPr>
        <sz val="11"/>
        <rFont val="ＭＳ Ｐ明朝"/>
        <family val="1"/>
      </rPr>
      <t xml:space="preserve"> a + b + c + d + e + f + g　 </t>
    </r>
    <r>
      <rPr>
        <sz val="9"/>
        <rFont val="ＭＳ Ｐ明朝"/>
        <family val="1"/>
      </rPr>
      <t xml:space="preserve">                                                             </t>
    </r>
  </si>
  <si>
    <r>
      <t>ｃ</t>
    </r>
    <r>
      <rPr>
        <sz val="9"/>
        <rFont val="ＭＳ Ｐ明朝"/>
        <family val="1"/>
      </rPr>
      <t>　　歯　　　科</t>
    </r>
  </si>
  <si>
    <r>
      <t>ｄ</t>
    </r>
    <r>
      <rPr>
        <sz val="9"/>
        <rFont val="ＭＳ Ｐ明朝"/>
        <family val="1"/>
      </rPr>
      <t>　　施　　設　　療　　養　　費</t>
    </r>
  </si>
  <si>
    <r>
      <t>ｅ</t>
    </r>
    <r>
      <rPr>
        <sz val="9"/>
        <rFont val="ＭＳ Ｐ明朝"/>
        <family val="1"/>
      </rPr>
      <t>　　調　　　剤</t>
    </r>
  </si>
  <si>
    <r>
      <t>ｆ</t>
    </r>
    <r>
      <rPr>
        <sz val="9"/>
        <rFont val="ＭＳ Ｐ明朝"/>
        <family val="1"/>
      </rPr>
      <t>　　訪　　  問　　  看　　  護</t>
    </r>
  </si>
  <si>
    <r>
      <t>ｇ</t>
    </r>
    <r>
      <rPr>
        <sz val="9"/>
        <rFont val="ＭＳ Ｐ明朝"/>
        <family val="1"/>
      </rPr>
      <t>　　食　　　事　　　療　　　養</t>
    </r>
  </si>
  <si>
    <r>
      <t>ａ</t>
    </r>
    <r>
      <rPr>
        <sz val="9"/>
        <rFont val="ＭＳ Ｐ明朝"/>
        <family val="1"/>
      </rPr>
      <t>　　　入　　　院</t>
    </r>
  </si>
  <si>
    <r>
      <t>ｂ</t>
    </r>
    <r>
      <rPr>
        <sz val="9"/>
        <rFont val="ＭＳ Ｐ明朝"/>
        <family val="1"/>
      </rPr>
      <t>　　入　　　院　　　外</t>
    </r>
  </si>
  <si>
    <r>
      <t xml:space="preserve">   3　 </t>
    </r>
    <r>
      <rPr>
        <sz val="11"/>
        <rFont val="ＭＳ Ｐ明朝"/>
        <family val="1"/>
      </rPr>
      <t>g</t>
    </r>
    <r>
      <rPr>
        <sz val="10"/>
        <rFont val="ＭＳ Ｐ明朝"/>
        <family val="1"/>
      </rPr>
      <t xml:space="preserve"> 食事療養の件数・日数は，</t>
    </r>
    <r>
      <rPr>
        <sz val="11"/>
        <rFont val="ＭＳ Ｐ明朝"/>
        <family val="1"/>
      </rPr>
      <t>a</t>
    </r>
    <r>
      <rPr>
        <sz val="10"/>
        <rFont val="ＭＳ Ｐ明朝"/>
        <family val="1"/>
      </rPr>
      <t xml:space="preserve"> 入院の内数である。</t>
    </r>
  </si>
  <si>
    <t>平成14年度</t>
  </si>
  <si>
    <t xml:space="preserve">保　険　の　状　況      </t>
  </si>
  <si>
    <t>127 国   民   健   康</t>
  </si>
  <si>
    <t xml:space="preserve">127　 国   民   健   康   </t>
  </si>
  <si>
    <t>療　　　養　　　費　　　等　　　の　　　給　　　付　　　等　　（老人は医療費等）</t>
  </si>
  <si>
    <t>出　産　育　児　一　時　金</t>
  </si>
  <si>
    <t>葬　　　祭　　　費</t>
  </si>
  <si>
    <r>
      <t>ｈ</t>
    </r>
    <r>
      <rPr>
        <sz val="9"/>
        <rFont val="ＭＳ Ｐ明朝"/>
        <family val="1"/>
      </rPr>
      <t>　　療　　　養　　　費</t>
    </r>
  </si>
  <si>
    <r>
      <t>ｉ</t>
    </r>
    <r>
      <rPr>
        <sz val="9"/>
        <rFont val="ＭＳ Ｐ明朝"/>
        <family val="1"/>
      </rPr>
      <t>　 食　事　療　養　差　額</t>
    </r>
  </si>
  <si>
    <r>
      <t>j</t>
    </r>
    <r>
      <rPr>
        <sz val="9"/>
        <rFont val="ＭＳ Ｐ明朝"/>
        <family val="1"/>
      </rPr>
      <t>　　移　　　送　　　費</t>
    </r>
  </si>
  <si>
    <t>保険者負担額</t>
  </si>
  <si>
    <t>支 給 額</t>
  </si>
  <si>
    <t>件  数</t>
  </si>
  <si>
    <t>平成14年度</t>
  </si>
  <si>
    <t>(2002)</t>
  </si>
  <si>
    <t>(2003)</t>
  </si>
  <si>
    <t>(2004)</t>
  </si>
  <si>
    <t>(2007)</t>
  </si>
  <si>
    <t>注　i食事療養差額の件数はh療養費の内数である。</t>
  </si>
  <si>
    <t>　　　　資料　福祉保険部</t>
  </si>
  <si>
    <t>　保   険   の   状   況  （つづき）</t>
  </si>
  <si>
    <r>
      <t>療　　養　　費　　等　　合　　計
Ｂ ＝</t>
    </r>
    <r>
      <rPr>
        <sz val="11"/>
        <rFont val="ＭＳ Ｐ明朝"/>
        <family val="1"/>
      </rPr>
      <t xml:space="preserve"> h + i + j</t>
    </r>
  </si>
  <si>
    <t>-</t>
  </si>
  <si>
    <t>(2005)</t>
  </si>
  <si>
    <t>(2006)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</si>
</sst>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#,##0_);[Red]\(#,##0\)"/>
    <numFmt numFmtId="180" formatCode="0_);\(0\)"/>
    <numFmt numFmtId="181" formatCode="#,##0.0_ "/>
    <numFmt numFmtId="182" formatCode="0_);[Red]\(0\)"/>
    <numFmt numFmtId="183" formatCode="#,##0.0;[Red]\-#,##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.25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80" fontId="2" fillId="0" borderId="4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180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176" fontId="2" fillId="0" borderId="7" xfId="0" applyNumberFormat="1" applyFont="1" applyFill="1" applyBorder="1" applyAlignment="1">
      <alignment vertical="center"/>
    </xf>
    <xf numFmtId="180" fontId="2" fillId="0" borderId="8" xfId="0" applyNumberFormat="1" applyFont="1" applyFill="1" applyBorder="1" applyAlignment="1">
      <alignment horizontal="left" vertical="center" wrapText="1"/>
    </xf>
    <xf numFmtId="18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180" fontId="9" fillId="0" borderId="5" xfId="0" applyNumberFormat="1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vertical="center"/>
    </xf>
    <xf numFmtId="180" fontId="9" fillId="0" borderId="4" xfId="0" applyNumberFormat="1" applyFont="1" applyFill="1" applyBorder="1" applyAlignment="1">
      <alignment horizontal="left" vertical="center" wrapText="1"/>
    </xf>
    <xf numFmtId="176" fontId="9" fillId="0" borderId="13" xfId="0" applyNumberFormat="1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177" fontId="9" fillId="0" borderId="14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center" wrapText="1"/>
    </xf>
    <xf numFmtId="176" fontId="9" fillId="0" borderId="16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horizontal="right" vertical="center"/>
    </xf>
    <xf numFmtId="177" fontId="9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176" fontId="9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 shrinkToFit="1"/>
    </xf>
    <xf numFmtId="180" fontId="2" fillId="0" borderId="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176" fontId="9" fillId="0" borderId="20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178" fontId="9" fillId="0" borderId="14" xfId="0" applyNumberFormat="1" applyFont="1" applyFill="1" applyBorder="1" applyAlignment="1">
      <alignment horizontal="right" vertical="center"/>
    </xf>
    <xf numFmtId="180" fontId="9" fillId="0" borderId="6" xfId="0" applyNumberFormat="1" applyFont="1" applyFill="1" applyBorder="1" applyAlignment="1">
      <alignment horizontal="left" vertical="center" wrapText="1"/>
    </xf>
    <xf numFmtId="178" fontId="9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indent="2"/>
    </xf>
    <xf numFmtId="0" fontId="2" fillId="0" borderId="22" xfId="0" applyFont="1" applyFill="1" applyBorder="1" applyAlignment="1">
      <alignment horizontal="left" vertical="center" indent="2"/>
    </xf>
    <xf numFmtId="0" fontId="5" fillId="0" borderId="0" xfId="0" applyFont="1" applyFill="1" applyAlignment="1">
      <alignment vertical="center"/>
    </xf>
    <xf numFmtId="0" fontId="4" fillId="0" borderId="2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179" fontId="2" fillId="0" borderId="7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9" fillId="0" borderId="5" xfId="0" applyNumberFormat="1" applyFont="1" applyFill="1" applyBorder="1" applyAlignment="1">
      <alignment horizontal="right" vertical="center" wrapText="1"/>
    </xf>
    <xf numFmtId="179" fontId="9" fillId="0" borderId="9" xfId="0" applyNumberFormat="1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179" fontId="9" fillId="0" borderId="13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/>
    </xf>
    <xf numFmtId="179" fontId="9" fillId="0" borderId="16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distributed" vertical="center" wrapText="1"/>
    </xf>
    <xf numFmtId="0" fontId="8" fillId="0" borderId="26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right" vertical="center" wrapText="1" indent="2"/>
    </xf>
    <xf numFmtId="0" fontId="2" fillId="0" borderId="21" xfId="0" applyFont="1" applyFill="1" applyBorder="1" applyAlignment="1">
      <alignment horizontal="right" vertical="center" wrapText="1" indent="2"/>
    </xf>
    <xf numFmtId="0" fontId="2" fillId="0" borderId="25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right" vertical="center"/>
    </xf>
    <xf numFmtId="0" fontId="12" fillId="0" borderId="3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76" fontId="9" fillId="0" borderId="18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distributed" vertical="center" wrapText="1"/>
    </xf>
    <xf numFmtId="0" fontId="8" fillId="0" borderId="29" xfId="0" applyFont="1" applyFill="1" applyBorder="1" applyAlignment="1">
      <alignment horizontal="distributed" vertical="center" wrapText="1"/>
    </xf>
    <xf numFmtId="0" fontId="8" fillId="0" borderId="7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 indent="2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 indent="3"/>
    </xf>
    <xf numFmtId="176" fontId="9" fillId="0" borderId="14" xfId="0" applyNumberFormat="1" applyFont="1" applyFill="1" applyBorder="1" applyAlignment="1">
      <alignment horizontal="right" vertical="center" indent="2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right" vertical="center" indent="2"/>
    </xf>
    <xf numFmtId="176" fontId="9" fillId="0" borderId="11" xfId="0" applyNumberFormat="1" applyFont="1" applyFill="1" applyBorder="1" applyAlignment="1">
      <alignment horizontal="right" vertical="center" indent="2"/>
    </xf>
    <xf numFmtId="176" fontId="9" fillId="0" borderId="10" xfId="0" applyNumberFormat="1" applyFont="1" applyFill="1" applyBorder="1" applyAlignment="1">
      <alignment horizontal="right" vertical="center" indent="2"/>
    </xf>
    <xf numFmtId="176" fontId="9" fillId="0" borderId="18" xfId="0" applyNumberFormat="1" applyFont="1" applyFill="1" applyBorder="1" applyAlignment="1">
      <alignment horizontal="right" vertical="center" indent="2"/>
    </xf>
    <xf numFmtId="176" fontId="2" fillId="0" borderId="0" xfId="0" applyNumberFormat="1" applyFont="1" applyFill="1" applyAlignment="1">
      <alignment horizontal="right" vertical="center" indent="3"/>
    </xf>
    <xf numFmtId="0" fontId="2" fillId="0" borderId="2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right" vertical="center" indent="3"/>
    </xf>
    <xf numFmtId="176" fontId="9" fillId="0" borderId="14" xfId="0" applyNumberFormat="1" applyFont="1" applyFill="1" applyBorder="1" applyAlignment="1">
      <alignment horizontal="right" vertical="center" indent="3"/>
    </xf>
    <xf numFmtId="176" fontId="9" fillId="0" borderId="17" xfId="0" applyNumberFormat="1" applyFont="1" applyFill="1" applyBorder="1" applyAlignment="1">
      <alignment horizontal="right" vertical="center" indent="3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国民健康保険　療養諸費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老人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'127'!$B$32:$B$43</c:f>
              <c:strCache/>
            </c:strRef>
          </c:cat>
          <c:val>
            <c:numRef>
              <c:f>('127'!#REF!,'127'!$P$23,'127'!#REF!,'127'!$P$8,'127'!$P$11,'127'!$P$17)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若人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'127'!$B$32:$B$43</c:f>
              <c:strCache/>
            </c:strRef>
          </c:cat>
          <c:val>
            <c:numRef>
              <c:f>('127'!#REF!,'127'!$P$22,'127'!#REF!,'127'!$P$7,'127'!$P$10,'127'!$P$16)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退職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'127'!$B$32:$B$43</c:f>
              <c:strCache/>
            </c:strRef>
          </c:cat>
          <c:val>
            <c:numRef>
              <c:f>('127'!#REF!,'127'!$P$24,'127'!#REF!,'127'!$P$9,'127'!$P$12,'127'!$P$18)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710402"/>
        <c:axId val="59664635"/>
      </c:lineChart>
      <c:catAx>
        <c:axId val="49710402"/>
        <c:scaling>
          <c:orientation val="minMax"/>
        </c:scaling>
        <c:axPos val="b"/>
        <c:delete val="0"/>
        <c:numFmt formatCode="tth&quot;时&quot;mm&quot;分&quot;" sourceLinked="0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59664635"/>
        <c:crosses val="autoZero"/>
        <c:auto val="1"/>
        <c:lblOffset val="100"/>
        <c:noMultiLvlLbl val="0"/>
      </c:catAx>
      <c:valAx>
        <c:axId val="59664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7104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53</xdr:row>
      <xdr:rowOff>0</xdr:rowOff>
    </xdr:from>
    <xdr:to>
      <xdr:col>22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3220700" y="10210800"/>
        <a:ext cx="0" cy="17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5"/>
  <sheetViews>
    <sheetView showGridLines="0" tabSelected="1" view="pageBreakPreview" zoomScaleSheetLayoutView="100" workbookViewId="0" topLeftCell="A1">
      <selection activeCell="H1" sqref="H1"/>
    </sheetView>
  </sheetViews>
  <sheetFormatPr defaultColWidth="9.00390625" defaultRowHeight="13.5" customHeight="1"/>
  <cols>
    <col min="1" max="1" width="1.625" style="1" customWidth="1"/>
    <col min="2" max="2" width="10.625" style="1" customWidth="1"/>
    <col min="3" max="3" width="6.625" style="1" customWidth="1"/>
    <col min="4" max="11" width="8.875" style="1" customWidth="1"/>
    <col min="12" max="13" width="1.625" style="2" customWidth="1"/>
    <col min="14" max="14" width="8.50390625" style="1" customWidth="1"/>
    <col min="15" max="15" width="8.25390625" style="1" customWidth="1"/>
    <col min="16" max="16" width="8.75390625" style="1" customWidth="1"/>
    <col min="17" max="17" width="8.375" style="1" customWidth="1"/>
    <col min="18" max="18" width="9.625" style="1" customWidth="1"/>
    <col min="19" max="19" width="8.75390625" style="1" customWidth="1"/>
    <col min="20" max="20" width="9.875" style="1" customWidth="1"/>
    <col min="21" max="21" width="8.75390625" style="1" customWidth="1"/>
    <col min="22" max="22" width="9.50390625" style="1" customWidth="1"/>
    <col min="23" max="23" width="9.75390625" style="1" customWidth="1"/>
    <col min="24" max="24" width="0.875" style="1" customWidth="1"/>
    <col min="25" max="25" width="9.875" style="1" customWidth="1"/>
    <col min="26" max="27" width="9.125" style="1" bestFit="1" customWidth="1"/>
    <col min="28" max="28" width="9.50390625" style="1" customWidth="1"/>
    <col min="29" max="29" width="10.00390625" style="1" customWidth="1"/>
    <col min="30" max="30" width="10.125" style="1" customWidth="1"/>
    <col min="31" max="34" width="9.125" style="1" bestFit="1" customWidth="1"/>
    <col min="35" max="16384" width="9.00390625" style="1" customWidth="1"/>
  </cols>
  <sheetData>
    <row r="1" spans="3:23" s="4" customFormat="1" ht="18" customHeight="1">
      <c r="C1" s="71"/>
      <c r="D1" s="71"/>
      <c r="E1" s="71"/>
      <c r="F1" s="71"/>
      <c r="G1" s="71"/>
      <c r="H1" s="71"/>
      <c r="I1" s="71"/>
      <c r="J1" s="71"/>
      <c r="K1" s="72" t="s">
        <v>42</v>
      </c>
      <c r="L1" s="71"/>
      <c r="M1" s="71"/>
      <c r="N1" s="71" t="s">
        <v>41</v>
      </c>
      <c r="O1" s="71"/>
      <c r="P1" s="71"/>
      <c r="Q1" s="71"/>
      <c r="R1" s="71"/>
      <c r="S1" s="71"/>
      <c r="T1" s="71"/>
      <c r="U1" s="71"/>
      <c r="V1" s="71"/>
      <c r="W1" s="71"/>
    </row>
    <row r="2" spans="2:23" ht="15" customHeight="1" thickBot="1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6"/>
      <c r="M2" s="16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2:23" s="5" customFormat="1" ht="16.5" customHeight="1" thickTop="1">
      <c r="B3" s="134" t="s">
        <v>1</v>
      </c>
      <c r="C3" s="135"/>
      <c r="D3" s="124" t="s">
        <v>26</v>
      </c>
      <c r="E3" s="124" t="s">
        <v>23</v>
      </c>
      <c r="F3" s="131" t="s">
        <v>12</v>
      </c>
      <c r="G3" s="124" t="s">
        <v>5</v>
      </c>
      <c r="H3" s="124" t="s">
        <v>7</v>
      </c>
      <c r="I3" s="124" t="s">
        <v>13</v>
      </c>
      <c r="J3" s="149" t="s">
        <v>14</v>
      </c>
      <c r="K3" s="150"/>
      <c r="L3" s="17"/>
      <c r="M3" s="17"/>
      <c r="N3" s="158" t="s">
        <v>24</v>
      </c>
      <c r="O3" s="134"/>
      <c r="P3" s="134"/>
      <c r="Q3" s="135"/>
      <c r="R3" s="153" t="s">
        <v>3</v>
      </c>
      <c r="S3" s="154"/>
      <c r="T3" s="154"/>
      <c r="U3" s="154"/>
      <c r="V3" s="154"/>
      <c r="W3" s="154"/>
    </row>
    <row r="4" spans="2:23" s="5" customFormat="1" ht="16.5" customHeight="1">
      <c r="B4" s="127"/>
      <c r="C4" s="136"/>
      <c r="D4" s="125"/>
      <c r="E4" s="125"/>
      <c r="F4" s="132"/>
      <c r="G4" s="125"/>
      <c r="H4" s="125"/>
      <c r="I4" s="125"/>
      <c r="J4" s="151"/>
      <c r="K4" s="152"/>
      <c r="L4" s="17"/>
      <c r="M4" s="17"/>
      <c r="N4" s="159"/>
      <c r="O4" s="127"/>
      <c r="P4" s="127"/>
      <c r="Q4" s="136"/>
      <c r="R4" s="157" t="s">
        <v>17</v>
      </c>
      <c r="S4" s="160"/>
      <c r="T4" s="160"/>
      <c r="U4" s="160"/>
      <c r="V4" s="160"/>
      <c r="W4" s="160"/>
    </row>
    <row r="5" spans="2:23" s="5" customFormat="1" ht="16.5" customHeight="1">
      <c r="B5" s="127"/>
      <c r="C5" s="136"/>
      <c r="D5" s="125"/>
      <c r="E5" s="125"/>
      <c r="F5" s="132"/>
      <c r="G5" s="125"/>
      <c r="H5" s="125"/>
      <c r="I5" s="125"/>
      <c r="J5" s="151"/>
      <c r="K5" s="152"/>
      <c r="L5" s="17"/>
      <c r="M5" s="17"/>
      <c r="N5" s="143"/>
      <c r="O5" s="128"/>
      <c r="P5" s="128"/>
      <c r="Q5" s="137"/>
      <c r="R5" s="91" t="s">
        <v>37</v>
      </c>
      <c r="S5" s="74"/>
      <c r="T5" s="74"/>
      <c r="U5" s="91" t="s">
        <v>38</v>
      </c>
      <c r="V5" s="74"/>
      <c r="W5" s="157"/>
    </row>
    <row r="6" spans="2:23" s="5" customFormat="1" ht="16.5" customHeight="1">
      <c r="B6" s="128"/>
      <c r="C6" s="137"/>
      <c r="D6" s="18" t="s">
        <v>4</v>
      </c>
      <c r="E6" s="19" t="s">
        <v>28</v>
      </c>
      <c r="F6" s="19" t="s">
        <v>28</v>
      </c>
      <c r="G6" s="20" t="s">
        <v>6</v>
      </c>
      <c r="H6" s="18" t="s">
        <v>8</v>
      </c>
      <c r="I6" s="18" t="s">
        <v>9</v>
      </c>
      <c r="J6" s="147" t="s">
        <v>29</v>
      </c>
      <c r="K6" s="148"/>
      <c r="L6" s="21"/>
      <c r="M6" s="21"/>
      <c r="N6" s="155" t="s">
        <v>15</v>
      </c>
      <c r="O6" s="156"/>
      <c r="P6" s="155" t="s">
        <v>16</v>
      </c>
      <c r="Q6" s="156"/>
      <c r="R6" s="23" t="s">
        <v>2</v>
      </c>
      <c r="S6" s="23" t="s">
        <v>10</v>
      </c>
      <c r="T6" s="23" t="s">
        <v>11</v>
      </c>
      <c r="U6" s="23" t="s">
        <v>2</v>
      </c>
      <c r="V6" s="23" t="s">
        <v>10</v>
      </c>
      <c r="W6" s="22" t="s">
        <v>11</v>
      </c>
    </row>
    <row r="7" spans="2:23" s="5" customFormat="1" ht="15" customHeight="1">
      <c r="B7" s="126" t="s">
        <v>40</v>
      </c>
      <c r="C7" s="24"/>
      <c r="D7" s="14"/>
      <c r="E7" s="14">
        <v>66637</v>
      </c>
      <c r="F7" s="14"/>
      <c r="G7" s="138">
        <v>8381613</v>
      </c>
      <c r="H7" s="26">
        <v>670.17</v>
      </c>
      <c r="I7" s="14">
        <v>27697</v>
      </c>
      <c r="J7" s="139">
        <v>185620</v>
      </c>
      <c r="K7" s="139"/>
      <c r="L7" s="27"/>
      <c r="M7" s="27"/>
      <c r="N7" s="84">
        <v>651454</v>
      </c>
      <c r="O7" s="84"/>
      <c r="P7" s="84">
        <v>14873781</v>
      </c>
      <c r="Q7" s="84"/>
      <c r="R7" s="14">
        <v>16267</v>
      </c>
      <c r="S7" s="14">
        <v>317202</v>
      </c>
      <c r="T7" s="14">
        <v>6322053</v>
      </c>
      <c r="U7" s="14">
        <v>371228</v>
      </c>
      <c r="V7" s="14">
        <v>712334</v>
      </c>
      <c r="W7" s="14">
        <v>4846745</v>
      </c>
    </row>
    <row r="8" spans="2:23" s="5" customFormat="1" ht="15" customHeight="1">
      <c r="B8" s="127"/>
      <c r="C8" s="24">
        <v>-2002</v>
      </c>
      <c r="D8" s="14">
        <v>66033</v>
      </c>
      <c r="E8" s="14">
        <v>36579</v>
      </c>
      <c r="F8" s="14">
        <v>36681</v>
      </c>
      <c r="G8" s="138"/>
      <c r="H8" s="26">
        <v>1859.31</v>
      </c>
      <c r="I8" s="14">
        <v>38765</v>
      </c>
      <c r="J8" s="139">
        <v>720759</v>
      </c>
      <c r="K8" s="139"/>
      <c r="L8" s="27"/>
      <c r="M8" s="27"/>
      <c r="N8" s="84">
        <v>1030487</v>
      </c>
      <c r="O8" s="84"/>
      <c r="P8" s="84">
        <v>32401506</v>
      </c>
      <c r="Q8" s="84"/>
      <c r="R8" s="14">
        <v>33801</v>
      </c>
      <c r="S8" s="14">
        <v>653627</v>
      </c>
      <c r="T8" s="14">
        <v>14932396</v>
      </c>
      <c r="U8" s="14">
        <v>602774</v>
      </c>
      <c r="V8" s="14">
        <v>1474968</v>
      </c>
      <c r="W8" s="14">
        <v>10277956</v>
      </c>
    </row>
    <row r="9" spans="2:23" s="5" customFormat="1" ht="15" customHeight="1">
      <c r="B9" s="128"/>
      <c r="C9" s="28"/>
      <c r="D9" s="14"/>
      <c r="E9" s="14">
        <v>15772</v>
      </c>
      <c r="F9" s="15"/>
      <c r="G9" s="25">
        <v>1605566</v>
      </c>
      <c r="H9" s="26">
        <v>1224.84</v>
      </c>
      <c r="I9" s="14">
        <v>24551</v>
      </c>
      <c r="J9" s="139">
        <v>300714</v>
      </c>
      <c r="K9" s="139"/>
      <c r="L9" s="27"/>
      <c r="M9" s="27"/>
      <c r="N9" s="84">
        <v>286612</v>
      </c>
      <c r="O9" s="84"/>
      <c r="P9" s="84">
        <v>5858484</v>
      </c>
      <c r="Q9" s="84"/>
      <c r="R9" s="14">
        <v>4407</v>
      </c>
      <c r="S9" s="14">
        <v>70463</v>
      </c>
      <c r="T9" s="14">
        <v>2094155</v>
      </c>
      <c r="U9" s="14">
        <v>168586</v>
      </c>
      <c r="V9" s="14">
        <v>337696</v>
      </c>
      <c r="W9" s="14">
        <v>2201534</v>
      </c>
    </row>
    <row r="10" spans="2:23" s="5" customFormat="1" ht="15" customHeight="1">
      <c r="B10" s="126">
        <v>15</v>
      </c>
      <c r="C10" s="29"/>
      <c r="D10" s="14"/>
      <c r="E10" s="14">
        <v>69108</v>
      </c>
      <c r="F10" s="14"/>
      <c r="G10" s="138">
        <v>8585902</v>
      </c>
      <c r="H10" s="26">
        <v>724.43</v>
      </c>
      <c r="I10" s="14">
        <v>27696</v>
      </c>
      <c r="J10" s="139">
        <v>200637</v>
      </c>
      <c r="K10" s="139"/>
      <c r="L10" s="27"/>
      <c r="M10" s="27"/>
      <c r="N10" s="84">
        <v>734503</v>
      </c>
      <c r="O10" s="84"/>
      <c r="P10" s="84">
        <v>16800879</v>
      </c>
      <c r="Q10" s="84"/>
      <c r="R10" s="14">
        <v>17961</v>
      </c>
      <c r="S10" s="14">
        <v>338367</v>
      </c>
      <c r="T10" s="14">
        <v>6929504</v>
      </c>
      <c r="U10" s="14">
        <v>414543</v>
      </c>
      <c r="V10" s="14">
        <v>790655</v>
      </c>
      <c r="W10" s="14">
        <v>5571695</v>
      </c>
    </row>
    <row r="11" spans="2:23" s="5" customFormat="1" ht="15" customHeight="1">
      <c r="B11" s="127"/>
      <c r="C11" s="24">
        <v>-2003</v>
      </c>
      <c r="D11" s="14">
        <v>68986</v>
      </c>
      <c r="E11" s="14">
        <v>36525</v>
      </c>
      <c r="F11" s="14">
        <v>36462</v>
      </c>
      <c r="G11" s="138"/>
      <c r="H11" s="26">
        <v>1851.14</v>
      </c>
      <c r="I11" s="14">
        <v>39302</v>
      </c>
      <c r="J11" s="139">
        <v>727525</v>
      </c>
      <c r="K11" s="139"/>
      <c r="L11" s="27"/>
      <c r="M11" s="27"/>
      <c r="N11" s="84">
        <v>1030458</v>
      </c>
      <c r="O11" s="84"/>
      <c r="P11" s="84">
        <v>32819735</v>
      </c>
      <c r="Q11" s="84"/>
      <c r="R11" s="14">
        <v>34128</v>
      </c>
      <c r="S11" s="14">
        <v>659359</v>
      </c>
      <c r="T11" s="14">
        <v>15487393</v>
      </c>
      <c r="U11" s="14">
        <v>598249</v>
      </c>
      <c r="V11" s="14">
        <v>1400680</v>
      </c>
      <c r="W11" s="14">
        <v>10004735</v>
      </c>
    </row>
    <row r="12" spans="2:23" s="5" customFormat="1" ht="15" customHeight="1">
      <c r="B12" s="128"/>
      <c r="C12" s="30"/>
      <c r="D12" s="14"/>
      <c r="E12" s="14">
        <v>17747</v>
      </c>
      <c r="F12" s="15"/>
      <c r="G12" s="25">
        <v>1872689</v>
      </c>
      <c r="H12" s="26">
        <v>1343.73</v>
      </c>
      <c r="I12" s="14">
        <v>25539</v>
      </c>
      <c r="J12" s="139">
        <v>343174</v>
      </c>
      <c r="K12" s="139"/>
      <c r="L12" s="27"/>
      <c r="M12" s="27"/>
      <c r="N12" s="84">
        <v>355638</v>
      </c>
      <c r="O12" s="84"/>
      <c r="P12" s="84">
        <v>7551054</v>
      </c>
      <c r="Q12" s="84"/>
      <c r="R12" s="14">
        <v>5675</v>
      </c>
      <c r="S12" s="14">
        <v>91124</v>
      </c>
      <c r="T12" s="14">
        <v>2798750</v>
      </c>
      <c r="U12" s="14">
        <v>206870</v>
      </c>
      <c r="V12" s="14">
        <v>403580</v>
      </c>
      <c r="W12" s="14">
        <v>2741492</v>
      </c>
    </row>
    <row r="13" spans="2:23" s="5" customFormat="1" ht="15" customHeight="1">
      <c r="B13" s="126">
        <v>16</v>
      </c>
      <c r="C13" s="24"/>
      <c r="D13" s="14"/>
      <c r="E13" s="14">
        <v>69946</v>
      </c>
      <c r="F13" s="14"/>
      <c r="G13" s="133">
        <v>8285325</v>
      </c>
      <c r="H13" s="26">
        <v>755.95</v>
      </c>
      <c r="I13" s="14">
        <v>26999</v>
      </c>
      <c r="J13" s="139">
        <v>204097</v>
      </c>
      <c r="K13" s="139"/>
      <c r="L13" s="27"/>
      <c r="M13" s="27"/>
      <c r="N13" s="84">
        <v>789671</v>
      </c>
      <c r="O13" s="84"/>
      <c r="P13" s="84">
        <v>17532578</v>
      </c>
      <c r="Q13" s="84"/>
      <c r="R13" s="14">
        <v>17839</v>
      </c>
      <c r="S13" s="14">
        <v>332439</v>
      </c>
      <c r="T13" s="14">
        <v>7038569</v>
      </c>
      <c r="U13" s="14">
        <v>437977</v>
      </c>
      <c r="V13" s="14">
        <v>821311</v>
      </c>
      <c r="W13" s="14">
        <v>5833127</v>
      </c>
    </row>
    <row r="14" spans="2:23" s="5" customFormat="1" ht="15" customHeight="1">
      <c r="B14" s="127"/>
      <c r="C14" s="24">
        <v>-2004</v>
      </c>
      <c r="D14" s="14">
        <v>71494</v>
      </c>
      <c r="E14" s="14">
        <v>35743</v>
      </c>
      <c r="F14" s="14">
        <v>35666</v>
      </c>
      <c r="G14" s="133"/>
      <c r="H14" s="26">
        <v>1879.28</v>
      </c>
      <c r="I14" s="14">
        <v>39854</v>
      </c>
      <c r="J14" s="139">
        <v>748959</v>
      </c>
      <c r="K14" s="139"/>
      <c r="L14" s="27"/>
      <c r="M14" s="27"/>
      <c r="N14" s="84">
        <v>1040756</v>
      </c>
      <c r="O14" s="84"/>
      <c r="P14" s="84">
        <v>33300242</v>
      </c>
      <c r="Q14" s="84"/>
      <c r="R14" s="14">
        <v>34863</v>
      </c>
      <c r="S14" s="14">
        <v>663611</v>
      </c>
      <c r="T14" s="14">
        <v>15847175</v>
      </c>
      <c r="U14" s="14">
        <v>592797</v>
      </c>
      <c r="V14" s="14">
        <v>1364141</v>
      </c>
      <c r="W14" s="14">
        <v>9886134</v>
      </c>
    </row>
    <row r="15" spans="2:23" s="5" customFormat="1" ht="15" customHeight="1">
      <c r="B15" s="128"/>
      <c r="C15" s="31"/>
      <c r="D15" s="32"/>
      <c r="E15" s="14">
        <v>21047</v>
      </c>
      <c r="F15" s="15"/>
      <c r="G15" s="25">
        <v>2087662</v>
      </c>
      <c r="H15" s="26">
        <v>1313.94</v>
      </c>
      <c r="I15" s="14">
        <v>24730</v>
      </c>
      <c r="J15" s="139">
        <v>324935</v>
      </c>
      <c r="K15" s="139"/>
      <c r="L15" s="27"/>
      <c r="M15" s="27"/>
      <c r="N15" s="84">
        <v>418418</v>
      </c>
      <c r="O15" s="84"/>
      <c r="P15" s="84">
        <v>8606734</v>
      </c>
      <c r="Q15" s="84"/>
      <c r="R15" s="14">
        <v>6215</v>
      </c>
      <c r="S15" s="14">
        <v>99130</v>
      </c>
      <c r="T15" s="14">
        <v>3108464</v>
      </c>
      <c r="U15" s="14">
        <v>239771</v>
      </c>
      <c r="V15" s="14">
        <v>454986</v>
      </c>
      <c r="W15" s="14">
        <v>3104983</v>
      </c>
    </row>
    <row r="16" spans="2:24" s="7" customFormat="1" ht="15" customHeight="1">
      <c r="B16" s="127">
        <v>17</v>
      </c>
      <c r="C16" s="33"/>
      <c r="D16" s="32"/>
      <c r="E16" s="14">
        <v>70312</v>
      </c>
      <c r="F16" s="14"/>
      <c r="G16" s="133">
        <v>8134573</v>
      </c>
      <c r="H16" s="26">
        <v>785.67</v>
      </c>
      <c r="I16" s="14">
        <v>27467</v>
      </c>
      <c r="J16" s="139">
        <v>215802</v>
      </c>
      <c r="K16" s="139"/>
      <c r="L16" s="27"/>
      <c r="M16" s="27"/>
      <c r="N16" s="84">
        <v>832285</v>
      </c>
      <c r="O16" s="84"/>
      <c r="P16" s="84">
        <v>18708418</v>
      </c>
      <c r="Q16" s="84"/>
      <c r="R16" s="14">
        <v>18111</v>
      </c>
      <c r="S16" s="14">
        <v>338197</v>
      </c>
      <c r="T16" s="14">
        <v>7548315</v>
      </c>
      <c r="U16" s="14">
        <v>459450</v>
      </c>
      <c r="V16" s="14">
        <v>840215</v>
      </c>
      <c r="W16" s="14">
        <v>6216795</v>
      </c>
      <c r="X16" s="6"/>
    </row>
    <row r="17" spans="2:24" s="7" customFormat="1" ht="15" customHeight="1">
      <c r="B17" s="127"/>
      <c r="C17" s="34">
        <v>-2005</v>
      </c>
      <c r="D17" s="32">
        <v>73305</v>
      </c>
      <c r="E17" s="14">
        <v>34731</v>
      </c>
      <c r="F17" s="14">
        <v>34646</v>
      </c>
      <c r="G17" s="133"/>
      <c r="H17" s="26">
        <v>1913.18</v>
      </c>
      <c r="I17" s="14">
        <v>40964</v>
      </c>
      <c r="J17" s="139">
        <v>783715</v>
      </c>
      <c r="K17" s="139"/>
      <c r="L17" s="27"/>
      <c r="M17" s="27"/>
      <c r="N17" s="84">
        <v>1034572</v>
      </c>
      <c r="O17" s="84"/>
      <c r="P17" s="84">
        <v>33970325</v>
      </c>
      <c r="Q17" s="84"/>
      <c r="R17" s="14">
        <v>35149</v>
      </c>
      <c r="S17" s="14">
        <v>675852</v>
      </c>
      <c r="T17" s="14">
        <v>16354760</v>
      </c>
      <c r="U17" s="14">
        <v>585170</v>
      </c>
      <c r="V17" s="14">
        <v>1305897</v>
      </c>
      <c r="W17" s="14">
        <v>9874189</v>
      </c>
      <c r="X17" s="6"/>
    </row>
    <row r="18" spans="2:24" s="7" customFormat="1" ht="15" customHeight="1">
      <c r="B18" s="128"/>
      <c r="C18" s="35"/>
      <c r="D18" s="32"/>
      <c r="E18" s="14">
        <v>23675</v>
      </c>
      <c r="F18" s="14"/>
      <c r="G18" s="25">
        <v>2321524</v>
      </c>
      <c r="H18" s="26">
        <v>1356.43</v>
      </c>
      <c r="I18" s="14">
        <v>24664</v>
      </c>
      <c r="J18" s="139">
        <v>334552</v>
      </c>
      <c r="K18" s="139"/>
      <c r="L18" s="27"/>
      <c r="M18" s="27"/>
      <c r="N18" s="84">
        <v>489282</v>
      </c>
      <c r="O18" s="84"/>
      <c r="P18" s="84">
        <v>10061405</v>
      </c>
      <c r="Q18" s="84"/>
      <c r="R18" s="14">
        <v>7187</v>
      </c>
      <c r="S18" s="14">
        <v>112636</v>
      </c>
      <c r="T18" s="14">
        <v>3616041</v>
      </c>
      <c r="U18" s="14">
        <v>277813</v>
      </c>
      <c r="V18" s="14">
        <v>509377</v>
      </c>
      <c r="W18" s="14">
        <v>3584151</v>
      </c>
      <c r="X18" s="6"/>
    </row>
    <row r="19" spans="2:24" s="9" customFormat="1" ht="15" customHeight="1">
      <c r="B19" s="127">
        <v>18</v>
      </c>
      <c r="C19" s="29"/>
      <c r="D19" s="14"/>
      <c r="E19" s="14">
        <v>70340</v>
      </c>
      <c r="F19" s="14"/>
      <c r="G19" s="133">
        <v>8668566</v>
      </c>
      <c r="H19" s="26">
        <v>807.41</v>
      </c>
      <c r="I19" s="14">
        <v>26850</v>
      </c>
      <c r="J19" s="139">
        <v>216787</v>
      </c>
      <c r="K19" s="139"/>
      <c r="L19" s="27"/>
      <c r="M19" s="27"/>
      <c r="N19" s="84">
        <v>867213</v>
      </c>
      <c r="O19" s="84"/>
      <c r="P19" s="84">
        <v>18890965</v>
      </c>
      <c r="Q19" s="84"/>
      <c r="R19" s="14">
        <v>18070</v>
      </c>
      <c r="S19" s="14">
        <v>342025</v>
      </c>
      <c r="T19" s="14">
        <v>7610075</v>
      </c>
      <c r="U19" s="14">
        <v>472212</v>
      </c>
      <c r="V19" s="14">
        <v>847938</v>
      </c>
      <c r="W19" s="14">
        <v>6252816</v>
      </c>
      <c r="X19" s="8"/>
    </row>
    <row r="20" spans="2:24" s="9" customFormat="1" ht="15" customHeight="1">
      <c r="B20" s="127"/>
      <c r="C20" s="24">
        <v>-2006</v>
      </c>
      <c r="D20" s="14">
        <v>74974</v>
      </c>
      <c r="E20" s="14">
        <v>33679</v>
      </c>
      <c r="F20" s="14">
        <v>33589</v>
      </c>
      <c r="G20" s="133"/>
      <c r="H20" s="26">
        <v>1926.52</v>
      </c>
      <c r="I20" s="14">
        <v>41106</v>
      </c>
      <c r="J20" s="139">
        <v>791920</v>
      </c>
      <c r="K20" s="139"/>
      <c r="L20" s="27"/>
      <c r="M20" s="27"/>
      <c r="N20" s="84">
        <v>1021714</v>
      </c>
      <c r="O20" s="84"/>
      <c r="P20" s="84">
        <v>33296354</v>
      </c>
      <c r="Q20" s="84"/>
      <c r="R20" s="14">
        <v>35110</v>
      </c>
      <c r="S20" s="14">
        <v>680978</v>
      </c>
      <c r="T20" s="14">
        <v>16309981</v>
      </c>
      <c r="U20" s="14">
        <v>570801</v>
      </c>
      <c r="V20" s="14">
        <v>1231824</v>
      </c>
      <c r="W20" s="14">
        <v>9465084</v>
      </c>
      <c r="X20" s="8"/>
    </row>
    <row r="21" spans="2:24" s="9" customFormat="1" ht="15" customHeight="1">
      <c r="B21" s="128"/>
      <c r="C21" s="30"/>
      <c r="D21" s="14"/>
      <c r="E21" s="14">
        <v>25587</v>
      </c>
      <c r="F21" s="14"/>
      <c r="G21" s="25">
        <v>2712927</v>
      </c>
      <c r="H21" s="26">
        <v>1387.78</v>
      </c>
      <c r="I21" s="14">
        <v>24113</v>
      </c>
      <c r="J21" s="139">
        <v>334638</v>
      </c>
      <c r="K21" s="139"/>
      <c r="L21" s="27"/>
      <c r="M21" s="27"/>
      <c r="N21" s="84">
        <v>548636</v>
      </c>
      <c r="O21" s="84"/>
      <c r="P21" s="84">
        <v>10936342</v>
      </c>
      <c r="Q21" s="84"/>
      <c r="R21" s="14">
        <f>6169+1745</f>
        <v>7914</v>
      </c>
      <c r="S21" s="14">
        <f>93827+28758</f>
        <v>122585</v>
      </c>
      <c r="T21" s="14">
        <f>3124739+811836</f>
        <v>3936575</v>
      </c>
      <c r="U21" s="14">
        <f>221052+86286</f>
        <v>307338</v>
      </c>
      <c r="V21" s="14">
        <f>398198+150380</f>
        <v>548578</v>
      </c>
      <c r="W21" s="14">
        <f>2803619+1063675</f>
        <v>3867294</v>
      </c>
      <c r="X21" s="8"/>
    </row>
    <row r="22" spans="2:23" s="9" customFormat="1" ht="15" customHeight="1">
      <c r="B22" s="122">
        <v>19</v>
      </c>
      <c r="C22" s="36"/>
      <c r="D22" s="37"/>
      <c r="E22" s="38">
        <v>70510</v>
      </c>
      <c r="F22" s="38"/>
      <c r="G22" s="162">
        <f>ROUND(8806491155/1000,0)</f>
        <v>8806491</v>
      </c>
      <c r="H22" s="39">
        <v>828.48</v>
      </c>
      <c r="I22" s="38">
        <v>28355</v>
      </c>
      <c r="J22" s="85">
        <v>234915</v>
      </c>
      <c r="K22" s="86"/>
      <c r="L22" s="40"/>
      <c r="M22" s="40"/>
      <c r="N22" s="89">
        <f>T47+19639</f>
        <v>899859</v>
      </c>
      <c r="O22" s="112"/>
      <c r="P22" s="112">
        <f>V47+188228</f>
        <v>20555135</v>
      </c>
      <c r="Q22" s="112"/>
      <c r="R22" s="38">
        <v>18937</v>
      </c>
      <c r="S22" s="38">
        <v>366427</v>
      </c>
      <c r="T22" s="38">
        <f>ROUND(8516592952/1000,0)</f>
        <v>8516593</v>
      </c>
      <c r="U22" s="38">
        <v>488435</v>
      </c>
      <c r="V22" s="38">
        <v>861991</v>
      </c>
      <c r="W22" s="43">
        <f>ROUND(6674573944/1000,0)</f>
        <v>6674574</v>
      </c>
    </row>
    <row r="23" spans="2:23" s="9" customFormat="1" ht="15" customHeight="1">
      <c r="B23" s="122"/>
      <c r="C23" s="44">
        <v>-2007</v>
      </c>
      <c r="D23" s="45">
        <v>76475</v>
      </c>
      <c r="E23" s="46">
        <v>32939</v>
      </c>
      <c r="F23" s="46">
        <v>32991</v>
      </c>
      <c r="G23" s="163"/>
      <c r="H23" s="47">
        <v>1928.16</v>
      </c>
      <c r="I23" s="46">
        <v>42009</v>
      </c>
      <c r="J23" s="87">
        <v>810002</v>
      </c>
      <c r="K23" s="88"/>
      <c r="L23" s="40"/>
      <c r="M23" s="40"/>
      <c r="N23" s="89">
        <f>T48+20308</f>
        <v>1007563</v>
      </c>
      <c r="O23" s="112"/>
      <c r="P23" s="112">
        <f>V48+353213</f>
        <v>33522811</v>
      </c>
      <c r="Q23" s="112"/>
      <c r="R23" s="46">
        <v>34659</v>
      </c>
      <c r="S23" s="46">
        <v>677479</v>
      </c>
      <c r="T23" s="46">
        <f>ROUND(16325721800/1000,0)</f>
        <v>16325722</v>
      </c>
      <c r="U23" s="46">
        <v>558812</v>
      </c>
      <c r="V23" s="46">
        <v>1173241</v>
      </c>
      <c r="W23" s="48">
        <f>ROUND(9484360597/1000,0)</f>
        <v>9484361</v>
      </c>
    </row>
    <row r="24" spans="2:23" s="9" customFormat="1" ht="15" customHeight="1">
      <c r="B24" s="123"/>
      <c r="C24" s="49"/>
      <c r="D24" s="50"/>
      <c r="E24" s="51">
        <v>27439</v>
      </c>
      <c r="F24" s="51"/>
      <c r="G24" s="52">
        <f>ROUND(2938607275/1000,0)</f>
        <v>2938607</v>
      </c>
      <c r="H24" s="53">
        <v>1427.69</v>
      </c>
      <c r="I24" s="51">
        <v>24805</v>
      </c>
      <c r="J24" s="145">
        <v>354132</v>
      </c>
      <c r="K24" s="146"/>
      <c r="L24" s="40"/>
      <c r="M24" s="40"/>
      <c r="N24" s="144">
        <f>T49+12149</f>
        <v>610070</v>
      </c>
      <c r="O24" s="140"/>
      <c r="P24" s="140">
        <f>V49+120615</f>
        <v>12493052</v>
      </c>
      <c r="Q24" s="140"/>
      <c r="R24" s="51">
        <v>8826</v>
      </c>
      <c r="S24" s="51">
        <v>136551</v>
      </c>
      <c r="T24" s="51">
        <f>ROUND(4590824690/1000,0)</f>
        <v>4590825</v>
      </c>
      <c r="U24" s="51">
        <v>339080</v>
      </c>
      <c r="V24" s="51">
        <v>595675</v>
      </c>
      <c r="W24" s="56">
        <f>ROUND(4302959376/1000,0)</f>
        <v>4302959</v>
      </c>
    </row>
    <row r="25" spans="2:23" ht="13.5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6"/>
      <c r="M25" s="16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2:23" ht="13.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6"/>
      <c r="M26" s="16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2:23" ht="13.5" customHeight="1" thickBo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6"/>
      <c r="M27" s="16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2:23" s="5" customFormat="1" ht="16.5" customHeight="1" thickTop="1">
      <c r="B28" s="134" t="s">
        <v>1</v>
      </c>
      <c r="C28" s="135"/>
      <c r="D28" s="129" t="s">
        <v>21</v>
      </c>
      <c r="E28" s="130"/>
      <c r="F28" s="130"/>
      <c r="G28" s="130"/>
      <c r="H28" s="130"/>
      <c r="I28" s="130"/>
      <c r="J28" s="130"/>
      <c r="K28" s="130"/>
      <c r="L28" s="57"/>
      <c r="M28" s="57"/>
      <c r="N28" s="75" t="s">
        <v>25</v>
      </c>
      <c r="O28" s="75"/>
      <c r="P28" s="75"/>
      <c r="Q28" s="75"/>
      <c r="R28" s="75"/>
      <c r="S28" s="76"/>
      <c r="T28" s="158" t="s">
        <v>31</v>
      </c>
      <c r="U28" s="134"/>
      <c r="V28" s="134"/>
      <c r="W28" s="134"/>
    </row>
    <row r="29" spans="2:23" s="5" customFormat="1" ht="16.5" customHeight="1">
      <c r="B29" s="127"/>
      <c r="C29" s="136"/>
      <c r="D29" s="157" t="s">
        <v>20</v>
      </c>
      <c r="E29" s="160"/>
      <c r="F29" s="160"/>
      <c r="G29" s="160"/>
      <c r="H29" s="160"/>
      <c r="I29" s="160"/>
      <c r="J29" s="160"/>
      <c r="K29" s="161"/>
      <c r="L29" s="58"/>
      <c r="M29" s="58"/>
      <c r="N29" s="141" t="s">
        <v>35</v>
      </c>
      <c r="O29" s="126"/>
      <c r="P29" s="142"/>
      <c r="Q29" s="141" t="s">
        <v>36</v>
      </c>
      <c r="R29" s="126"/>
      <c r="S29" s="142"/>
      <c r="T29" s="159"/>
      <c r="U29" s="127"/>
      <c r="V29" s="127"/>
      <c r="W29" s="127"/>
    </row>
    <row r="30" spans="2:23" s="5" customFormat="1" ht="16.5" customHeight="1">
      <c r="B30" s="127"/>
      <c r="C30" s="136"/>
      <c r="D30" s="91" t="s">
        <v>32</v>
      </c>
      <c r="E30" s="74"/>
      <c r="F30" s="74"/>
      <c r="G30" s="91" t="s">
        <v>33</v>
      </c>
      <c r="H30" s="74"/>
      <c r="I30" s="74"/>
      <c r="J30" s="91" t="s">
        <v>34</v>
      </c>
      <c r="K30" s="74"/>
      <c r="L30" s="58"/>
      <c r="M30" s="58"/>
      <c r="N30" s="143"/>
      <c r="O30" s="128"/>
      <c r="P30" s="137"/>
      <c r="Q30" s="143"/>
      <c r="R30" s="128"/>
      <c r="S30" s="137"/>
      <c r="T30" s="143"/>
      <c r="U30" s="128"/>
      <c r="V30" s="128"/>
      <c r="W30" s="128"/>
    </row>
    <row r="31" spans="2:23" s="5" customFormat="1" ht="21">
      <c r="B31" s="128"/>
      <c r="C31" s="137"/>
      <c r="D31" s="23" t="s">
        <v>2</v>
      </c>
      <c r="E31" s="23" t="s">
        <v>10</v>
      </c>
      <c r="F31" s="23" t="s">
        <v>11</v>
      </c>
      <c r="G31" s="23" t="s">
        <v>2</v>
      </c>
      <c r="H31" s="23" t="s">
        <v>10</v>
      </c>
      <c r="I31" s="23" t="s">
        <v>11</v>
      </c>
      <c r="J31" s="23" t="s">
        <v>2</v>
      </c>
      <c r="K31" s="23" t="s">
        <v>11</v>
      </c>
      <c r="L31" s="59"/>
      <c r="M31" s="59"/>
      <c r="N31" s="23" t="s">
        <v>2</v>
      </c>
      <c r="O31" s="23" t="s">
        <v>10</v>
      </c>
      <c r="P31" s="23" t="s">
        <v>11</v>
      </c>
      <c r="Q31" s="23" t="s">
        <v>2</v>
      </c>
      <c r="R31" s="23" t="s">
        <v>10</v>
      </c>
      <c r="S31" s="23" t="s">
        <v>11</v>
      </c>
      <c r="T31" s="23" t="s">
        <v>2</v>
      </c>
      <c r="U31" s="23" t="s">
        <v>10</v>
      </c>
      <c r="V31" s="23" t="s">
        <v>11</v>
      </c>
      <c r="W31" s="60" t="s">
        <v>22</v>
      </c>
    </row>
    <row r="32" spans="2:23" s="5" customFormat="1" ht="15" customHeight="1">
      <c r="B32" s="126" t="s">
        <v>40</v>
      </c>
      <c r="C32" s="24"/>
      <c r="D32" s="13">
        <v>59089</v>
      </c>
      <c r="E32" s="13">
        <v>164315</v>
      </c>
      <c r="F32" s="13">
        <v>1200332</v>
      </c>
      <c r="G32" s="25" t="s">
        <v>27</v>
      </c>
      <c r="H32" s="25" t="s">
        <v>27</v>
      </c>
      <c r="I32" s="25" t="s">
        <v>27</v>
      </c>
      <c r="J32" s="13">
        <v>192394</v>
      </c>
      <c r="K32" s="13">
        <v>1728000</v>
      </c>
      <c r="L32" s="13"/>
      <c r="M32" s="13"/>
      <c r="N32" s="13">
        <v>269</v>
      </c>
      <c r="O32" s="13">
        <v>1607</v>
      </c>
      <c r="P32" s="13">
        <v>15300</v>
      </c>
      <c r="Q32" s="13">
        <v>-15549</v>
      </c>
      <c r="R32" s="13">
        <v>-293887</v>
      </c>
      <c r="S32" s="13">
        <v>640148</v>
      </c>
      <c r="T32" s="13">
        <v>639247</v>
      </c>
      <c r="U32" s="13">
        <v>1195458</v>
      </c>
      <c r="V32" s="13">
        <v>14752578</v>
      </c>
      <c r="W32" s="13">
        <v>10185863</v>
      </c>
    </row>
    <row r="33" spans="2:23" s="5" customFormat="1" ht="15" customHeight="1">
      <c r="B33" s="127"/>
      <c r="C33" s="24">
        <v>-2002</v>
      </c>
      <c r="D33" s="13">
        <v>43543</v>
      </c>
      <c r="E33" s="13">
        <v>130484</v>
      </c>
      <c r="F33" s="13">
        <v>1154299</v>
      </c>
      <c r="G33" s="25" t="s">
        <v>27</v>
      </c>
      <c r="H33" s="25" t="s">
        <v>27</v>
      </c>
      <c r="I33" s="25" t="s">
        <v>27</v>
      </c>
      <c r="J33" s="13">
        <v>332386</v>
      </c>
      <c r="K33" s="13">
        <v>4393103</v>
      </c>
      <c r="L33" s="13"/>
      <c r="M33" s="13"/>
      <c r="N33" s="13">
        <v>1037</v>
      </c>
      <c r="O33" s="13">
        <v>5924</v>
      </c>
      <c r="P33" s="13">
        <v>56175</v>
      </c>
      <c r="Q33" s="13">
        <v>-31505</v>
      </c>
      <c r="R33" s="13">
        <v>-577440</v>
      </c>
      <c r="S33" s="13">
        <v>1288948</v>
      </c>
      <c r="T33" s="13">
        <v>1013541</v>
      </c>
      <c r="U33" s="13">
        <v>2265003</v>
      </c>
      <c r="V33" s="13">
        <v>32102877</v>
      </c>
      <c r="W33" s="13">
        <v>29494764</v>
      </c>
    </row>
    <row r="34" spans="2:23" s="5" customFormat="1" ht="15" customHeight="1">
      <c r="B34" s="128"/>
      <c r="C34" s="28"/>
      <c r="D34" s="13">
        <v>20189</v>
      </c>
      <c r="E34" s="13">
        <v>61147</v>
      </c>
      <c r="F34" s="13">
        <v>447177</v>
      </c>
      <c r="G34" s="25" t="s">
        <v>27</v>
      </c>
      <c r="H34" s="25" t="s">
        <v>27</v>
      </c>
      <c r="I34" s="25" t="s">
        <v>27</v>
      </c>
      <c r="J34" s="13">
        <v>88885</v>
      </c>
      <c r="K34" s="13">
        <v>917987</v>
      </c>
      <c r="L34" s="13"/>
      <c r="M34" s="13"/>
      <c r="N34" s="13">
        <v>109</v>
      </c>
      <c r="O34" s="13">
        <v>842</v>
      </c>
      <c r="P34" s="13">
        <v>7993</v>
      </c>
      <c r="Q34" s="13">
        <v>-4252</v>
      </c>
      <c r="R34" s="13">
        <v>-63377</v>
      </c>
      <c r="S34" s="13">
        <v>142339</v>
      </c>
      <c r="T34" s="13">
        <v>282176</v>
      </c>
      <c r="U34" s="13">
        <v>470148</v>
      </c>
      <c r="V34" s="13">
        <v>5811185</v>
      </c>
      <c r="W34" s="13">
        <v>4426794</v>
      </c>
    </row>
    <row r="35" spans="2:23" s="5" customFormat="1" ht="15" customHeight="1">
      <c r="B35" s="126">
        <v>15</v>
      </c>
      <c r="C35" s="29"/>
      <c r="D35" s="14">
        <v>68135</v>
      </c>
      <c r="E35" s="14">
        <v>188264</v>
      </c>
      <c r="F35" s="14">
        <v>1364432</v>
      </c>
      <c r="G35" s="25" t="s">
        <v>27</v>
      </c>
      <c r="H35" s="25" t="s">
        <v>27</v>
      </c>
      <c r="I35" s="25" t="s">
        <v>27</v>
      </c>
      <c r="J35" s="14">
        <v>219272</v>
      </c>
      <c r="K35" s="14">
        <v>2087947</v>
      </c>
      <c r="L35" s="13"/>
      <c r="M35" s="13"/>
      <c r="N35" s="14">
        <v>286</v>
      </c>
      <c r="O35" s="14">
        <v>2301</v>
      </c>
      <c r="P35" s="14">
        <v>21303</v>
      </c>
      <c r="Q35" s="13">
        <v>-17083</v>
      </c>
      <c r="R35" s="13">
        <v>-313485</v>
      </c>
      <c r="S35" s="13">
        <v>681368</v>
      </c>
      <c r="T35" s="14">
        <v>720197</v>
      </c>
      <c r="U35" s="14">
        <v>1319587</v>
      </c>
      <c r="V35" s="14">
        <v>16656249</v>
      </c>
      <c r="W35" s="14">
        <v>11802747</v>
      </c>
    </row>
    <row r="36" spans="2:23" s="5" customFormat="1" ht="15" customHeight="1">
      <c r="B36" s="127"/>
      <c r="C36" s="24">
        <v>-2003</v>
      </c>
      <c r="D36" s="14">
        <v>43751</v>
      </c>
      <c r="E36" s="14">
        <v>127565</v>
      </c>
      <c r="F36" s="14">
        <v>1080726</v>
      </c>
      <c r="G36" s="25" t="s">
        <v>27</v>
      </c>
      <c r="H36" s="25" t="s">
        <v>27</v>
      </c>
      <c r="I36" s="25" t="s">
        <v>27</v>
      </c>
      <c r="J36" s="14">
        <v>335415</v>
      </c>
      <c r="K36" s="14">
        <v>4564748</v>
      </c>
      <c r="L36" s="13"/>
      <c r="M36" s="13"/>
      <c r="N36" s="14">
        <v>893</v>
      </c>
      <c r="O36" s="14">
        <v>5408</v>
      </c>
      <c r="P36" s="14">
        <v>51539</v>
      </c>
      <c r="Q36" s="13">
        <v>-31923</v>
      </c>
      <c r="R36" s="13">
        <v>-585727</v>
      </c>
      <c r="S36" s="13">
        <v>1318338</v>
      </c>
      <c r="T36" s="14">
        <v>1012436</v>
      </c>
      <c r="U36" s="14">
        <v>2193012</v>
      </c>
      <c r="V36" s="14">
        <v>32507479</v>
      </c>
      <c r="W36" s="14">
        <v>29623989</v>
      </c>
    </row>
    <row r="37" spans="2:23" s="5" customFormat="1" ht="15" customHeight="1">
      <c r="B37" s="128"/>
      <c r="C37" s="30"/>
      <c r="D37" s="14">
        <v>25927</v>
      </c>
      <c r="E37" s="14">
        <v>76440</v>
      </c>
      <c r="F37" s="14">
        <v>550063</v>
      </c>
      <c r="G37" s="25" t="s">
        <v>27</v>
      </c>
      <c r="H37" s="25" t="s">
        <v>27</v>
      </c>
      <c r="I37" s="25" t="s">
        <v>27</v>
      </c>
      <c r="J37" s="14">
        <v>111390</v>
      </c>
      <c r="K37" s="14">
        <v>1209360</v>
      </c>
      <c r="L37" s="13"/>
      <c r="M37" s="13"/>
      <c r="N37" s="14">
        <v>132</v>
      </c>
      <c r="O37" s="14">
        <v>815</v>
      </c>
      <c r="P37" s="14">
        <v>7906</v>
      </c>
      <c r="Q37" s="13">
        <v>-5480</v>
      </c>
      <c r="R37" s="13">
        <v>-82172</v>
      </c>
      <c r="S37" s="13">
        <v>184023</v>
      </c>
      <c r="T37" s="14">
        <v>349994</v>
      </c>
      <c r="U37" s="14">
        <v>571959</v>
      </c>
      <c r="V37" s="14">
        <v>7491594</v>
      </c>
      <c r="W37" s="14">
        <v>5422713</v>
      </c>
    </row>
    <row r="38" spans="2:23" s="5" customFormat="1" ht="15" customHeight="1">
      <c r="B38" s="126">
        <v>16</v>
      </c>
      <c r="C38" s="24"/>
      <c r="D38" s="32">
        <v>72944</v>
      </c>
      <c r="E38" s="14">
        <v>196246</v>
      </c>
      <c r="F38" s="14">
        <v>1404095</v>
      </c>
      <c r="G38" s="25" t="s">
        <v>27</v>
      </c>
      <c r="H38" s="25" t="s">
        <v>27</v>
      </c>
      <c r="I38" s="25" t="s">
        <v>27</v>
      </c>
      <c r="J38" s="14">
        <v>244855</v>
      </c>
      <c r="K38" s="14">
        <v>2393041</v>
      </c>
      <c r="L38" s="13"/>
      <c r="M38" s="13"/>
      <c r="N38" s="15">
        <v>259</v>
      </c>
      <c r="O38" s="15">
        <v>2146</v>
      </c>
      <c r="P38" s="15">
        <v>20565</v>
      </c>
      <c r="Q38" s="12">
        <v>-16878</v>
      </c>
      <c r="R38" s="12">
        <v>-308808</v>
      </c>
      <c r="S38" s="12">
        <v>674377</v>
      </c>
      <c r="T38" s="14">
        <v>773874</v>
      </c>
      <c r="U38" s="14">
        <v>1352142</v>
      </c>
      <c r="V38" s="14">
        <v>17363774</v>
      </c>
      <c r="W38" s="14">
        <v>12467403</v>
      </c>
    </row>
    <row r="39" spans="2:23" s="5" customFormat="1" ht="15" customHeight="1">
      <c r="B39" s="127"/>
      <c r="C39" s="24">
        <v>-2004</v>
      </c>
      <c r="D39" s="32">
        <v>44050</v>
      </c>
      <c r="E39" s="14">
        <v>125286</v>
      </c>
      <c r="F39" s="14">
        <v>1036745</v>
      </c>
      <c r="G39" s="25" t="s">
        <v>27</v>
      </c>
      <c r="H39" s="25" t="s">
        <v>27</v>
      </c>
      <c r="I39" s="25" t="s">
        <v>27</v>
      </c>
      <c r="J39" s="14">
        <v>348651</v>
      </c>
      <c r="K39" s="14">
        <v>4823952</v>
      </c>
      <c r="L39" s="13"/>
      <c r="M39" s="13"/>
      <c r="N39" s="15">
        <v>991</v>
      </c>
      <c r="O39" s="15">
        <v>5888</v>
      </c>
      <c r="P39" s="15">
        <v>57118</v>
      </c>
      <c r="Q39" s="12">
        <v>-32605</v>
      </c>
      <c r="R39" s="12">
        <v>-585428</v>
      </c>
      <c r="S39" s="12">
        <v>1323455</v>
      </c>
      <c r="T39" s="14">
        <v>1021352</v>
      </c>
      <c r="U39" s="14">
        <v>2158926</v>
      </c>
      <c r="V39" s="14">
        <v>32974579</v>
      </c>
      <c r="W39" s="14">
        <v>30096748</v>
      </c>
    </row>
    <row r="40" spans="2:23" s="5" customFormat="1" ht="15" customHeight="1">
      <c r="B40" s="128"/>
      <c r="C40" s="31"/>
      <c r="D40" s="32">
        <v>30559</v>
      </c>
      <c r="E40" s="14">
        <v>89159</v>
      </c>
      <c r="F40" s="14">
        <v>625470</v>
      </c>
      <c r="G40" s="25" t="s">
        <v>27</v>
      </c>
      <c r="H40" s="25" t="s">
        <v>27</v>
      </c>
      <c r="I40" s="25" t="s">
        <v>27</v>
      </c>
      <c r="J40" s="14">
        <v>134898</v>
      </c>
      <c r="K40" s="14">
        <v>1493360</v>
      </c>
      <c r="L40" s="13"/>
      <c r="M40" s="13"/>
      <c r="N40" s="15">
        <v>118</v>
      </c>
      <c r="O40" s="15">
        <v>611</v>
      </c>
      <c r="P40" s="15">
        <v>5962</v>
      </c>
      <c r="Q40" s="12">
        <v>-6113</v>
      </c>
      <c r="R40" s="12">
        <v>-88687</v>
      </c>
      <c r="S40" s="12">
        <v>200417</v>
      </c>
      <c r="T40" s="14">
        <v>411561</v>
      </c>
      <c r="U40" s="14">
        <v>643886</v>
      </c>
      <c r="V40" s="14">
        <v>8538656</v>
      </c>
      <c r="W40" s="14">
        <v>6295566</v>
      </c>
    </row>
    <row r="41" spans="2:23" s="5" customFormat="1" ht="15" customHeight="1">
      <c r="B41" s="127">
        <v>17</v>
      </c>
      <c r="C41" s="33"/>
      <c r="D41" s="32">
        <v>74859</v>
      </c>
      <c r="E41" s="14">
        <v>197751</v>
      </c>
      <c r="F41" s="14">
        <v>1408359</v>
      </c>
      <c r="G41" s="25" t="s">
        <v>30</v>
      </c>
      <c r="H41" s="25" t="s">
        <v>30</v>
      </c>
      <c r="I41" s="25" t="s">
        <v>30</v>
      </c>
      <c r="J41" s="14">
        <v>262422</v>
      </c>
      <c r="K41" s="14">
        <v>2652833</v>
      </c>
      <c r="L41" s="14"/>
      <c r="M41" s="14"/>
      <c r="N41" s="15">
        <v>362</v>
      </c>
      <c r="O41" s="15">
        <v>3180</v>
      </c>
      <c r="P41" s="15">
        <v>30042</v>
      </c>
      <c r="Q41" s="12">
        <v>-17338</v>
      </c>
      <c r="R41" s="12">
        <v>-313292</v>
      </c>
      <c r="S41" s="12">
        <v>687329</v>
      </c>
      <c r="T41" s="14">
        <v>815204</v>
      </c>
      <c r="U41" s="14">
        <v>1379343</v>
      </c>
      <c r="V41" s="14">
        <v>18543673</v>
      </c>
      <c r="W41" s="14">
        <v>13454234</v>
      </c>
    </row>
    <row r="42" spans="2:23" s="5" customFormat="1" ht="15" customHeight="1">
      <c r="B42" s="127"/>
      <c r="C42" s="34">
        <v>-2005</v>
      </c>
      <c r="D42" s="32">
        <v>44146</v>
      </c>
      <c r="E42" s="14">
        <v>122271</v>
      </c>
      <c r="F42" s="14">
        <v>990253</v>
      </c>
      <c r="G42" s="25" t="s">
        <v>30</v>
      </c>
      <c r="H42" s="25" t="s">
        <v>30</v>
      </c>
      <c r="I42" s="25" t="s">
        <v>30</v>
      </c>
      <c r="J42" s="14">
        <v>350000</v>
      </c>
      <c r="K42" s="14">
        <v>5010058</v>
      </c>
      <c r="L42" s="14"/>
      <c r="M42" s="14"/>
      <c r="N42" s="15">
        <v>1215</v>
      </c>
      <c r="O42" s="15">
        <v>8137</v>
      </c>
      <c r="P42" s="15">
        <v>76797</v>
      </c>
      <c r="Q42" s="12">
        <v>-32764</v>
      </c>
      <c r="R42" s="12">
        <v>-597815</v>
      </c>
      <c r="S42" s="12">
        <v>1360866</v>
      </c>
      <c r="T42" s="14">
        <v>1015680</v>
      </c>
      <c r="U42" s="14">
        <v>2112157</v>
      </c>
      <c r="V42" s="14">
        <v>33666923</v>
      </c>
      <c r="W42" s="14">
        <v>30782695</v>
      </c>
    </row>
    <row r="43" spans="2:23" s="5" customFormat="1" ht="15" customHeight="1">
      <c r="B43" s="128"/>
      <c r="C43" s="61"/>
      <c r="D43" s="32">
        <v>36135</v>
      </c>
      <c r="E43" s="14">
        <v>102588</v>
      </c>
      <c r="F43" s="14">
        <v>720322</v>
      </c>
      <c r="G43" s="25" t="s">
        <v>30</v>
      </c>
      <c r="H43" s="25" t="s">
        <v>30</v>
      </c>
      <c r="I43" s="25" t="s">
        <v>30</v>
      </c>
      <c r="J43" s="14">
        <v>159467</v>
      </c>
      <c r="K43" s="14">
        <v>1823217</v>
      </c>
      <c r="L43" s="14"/>
      <c r="M43" s="14"/>
      <c r="N43" s="15">
        <v>122</v>
      </c>
      <c r="O43" s="15">
        <v>702</v>
      </c>
      <c r="P43" s="15">
        <v>6721</v>
      </c>
      <c r="Q43" s="12">
        <v>-6991</v>
      </c>
      <c r="R43" s="12">
        <v>-101101</v>
      </c>
      <c r="S43" s="12">
        <v>229733</v>
      </c>
      <c r="T43" s="14">
        <v>480724</v>
      </c>
      <c r="U43" s="14">
        <v>725303</v>
      </c>
      <c r="V43" s="14">
        <v>9980185</v>
      </c>
      <c r="W43" s="14">
        <v>7511173</v>
      </c>
    </row>
    <row r="44" spans="2:23" s="7" customFormat="1" ht="15" customHeight="1">
      <c r="B44" s="127">
        <v>18</v>
      </c>
      <c r="C44" s="29"/>
      <c r="D44" s="32">
        <v>77650</v>
      </c>
      <c r="E44" s="14">
        <v>200027</v>
      </c>
      <c r="F44" s="14">
        <v>1385873</v>
      </c>
      <c r="G44" s="25" t="s">
        <v>30</v>
      </c>
      <c r="H44" s="25" t="s">
        <v>30</v>
      </c>
      <c r="I44" s="25" t="s">
        <v>30</v>
      </c>
      <c r="J44" s="14">
        <v>280516</v>
      </c>
      <c r="K44" s="14">
        <v>2823859</v>
      </c>
      <c r="L44" s="14"/>
      <c r="M44" s="14"/>
      <c r="N44" s="15">
        <v>387</v>
      </c>
      <c r="O44" s="15">
        <v>3501</v>
      </c>
      <c r="P44" s="15">
        <v>33559</v>
      </c>
      <c r="Q44" s="12">
        <v>-17191</v>
      </c>
      <c r="R44" s="12">
        <v>-859439</v>
      </c>
      <c r="S44" s="12">
        <v>610999</v>
      </c>
      <c r="T44" s="14">
        <v>848835</v>
      </c>
      <c r="U44" s="14">
        <v>1393491</v>
      </c>
      <c r="V44" s="14">
        <v>18717181</v>
      </c>
      <c r="W44" s="14">
        <v>13667522</v>
      </c>
    </row>
    <row r="45" spans="2:23" s="7" customFormat="1" ht="15" customHeight="1">
      <c r="B45" s="127"/>
      <c r="C45" s="24">
        <v>-2006</v>
      </c>
      <c r="D45" s="32">
        <v>42922</v>
      </c>
      <c r="E45" s="14">
        <v>115877</v>
      </c>
      <c r="F45" s="14">
        <v>896013</v>
      </c>
      <c r="G45" s="25" t="s">
        <v>30</v>
      </c>
      <c r="H45" s="25" t="s">
        <v>30</v>
      </c>
      <c r="I45" s="25" t="s">
        <v>30</v>
      </c>
      <c r="J45" s="14">
        <v>352871</v>
      </c>
      <c r="K45" s="14">
        <v>5022415</v>
      </c>
      <c r="L45" s="14"/>
      <c r="M45" s="14"/>
      <c r="N45" s="15">
        <v>1416</v>
      </c>
      <c r="O45" s="15">
        <v>9698</v>
      </c>
      <c r="P45" s="15">
        <v>91381</v>
      </c>
      <c r="Q45" s="12">
        <v>-32531</v>
      </c>
      <c r="R45" s="12">
        <v>-1604028</v>
      </c>
      <c r="S45" s="12">
        <v>1176415</v>
      </c>
      <c r="T45" s="14">
        <v>1003120</v>
      </c>
      <c r="U45" s="14">
        <v>2038377</v>
      </c>
      <c r="V45" s="14">
        <v>32961289</v>
      </c>
      <c r="W45" s="14">
        <v>30082773</v>
      </c>
    </row>
    <row r="46" spans="2:23" s="7" customFormat="1" ht="15" customHeight="1">
      <c r="B46" s="127"/>
      <c r="C46" s="24"/>
      <c r="D46" s="32">
        <f>28348+11492</f>
        <v>39840</v>
      </c>
      <c r="E46" s="14">
        <f>79470+31766</f>
        <v>111236</v>
      </c>
      <c r="F46" s="14">
        <f>548293+210227</f>
        <v>758520</v>
      </c>
      <c r="G46" s="25" t="s">
        <v>30</v>
      </c>
      <c r="H46" s="25" t="s">
        <v>30</v>
      </c>
      <c r="I46" s="25" t="s">
        <v>30</v>
      </c>
      <c r="J46" s="14">
        <f>131866+51554</f>
        <v>183420</v>
      </c>
      <c r="K46" s="14">
        <v>2060891</v>
      </c>
      <c r="L46" s="14"/>
      <c r="M46" s="14"/>
      <c r="N46" s="15">
        <f>58+65</f>
        <v>123</v>
      </c>
      <c r="O46" s="15">
        <f>330+483</f>
        <v>813</v>
      </c>
      <c r="P46" s="15">
        <f>3282+4562</f>
        <v>7844</v>
      </c>
      <c r="Q46" s="12">
        <v>-7617</v>
      </c>
      <c r="R46" s="12">
        <v>-287171</v>
      </c>
      <c r="S46" s="12">
        <f>158578+51543</f>
        <v>210121</v>
      </c>
      <c r="T46" s="14">
        <f>387493+151142</f>
        <v>538635</v>
      </c>
      <c r="U46" s="14">
        <f>571825+211387</f>
        <v>783212</v>
      </c>
      <c r="V46" s="14">
        <f>8164409+2676836</f>
        <v>10841245</v>
      </c>
      <c r="W46" s="14">
        <v>8289602</v>
      </c>
    </row>
    <row r="47" spans="2:23" s="9" customFormat="1" ht="15" customHeight="1">
      <c r="B47" s="90">
        <v>19</v>
      </c>
      <c r="C47" s="36"/>
      <c r="D47" s="37">
        <v>76786</v>
      </c>
      <c r="E47" s="38">
        <v>195241</v>
      </c>
      <c r="F47" s="38">
        <f>ROUNDUP(1372720354/1000,0)</f>
        <v>1372721</v>
      </c>
      <c r="G47" s="62" t="s">
        <v>30</v>
      </c>
      <c r="H47" s="62" t="s">
        <v>30</v>
      </c>
      <c r="I47" s="62" t="s">
        <v>30</v>
      </c>
      <c r="J47" s="38">
        <v>295598</v>
      </c>
      <c r="K47" s="43">
        <f>ROUND(3118515158/1000,0)</f>
        <v>3118515</v>
      </c>
      <c r="L47" s="63"/>
      <c r="M47" s="63"/>
      <c r="N47" s="41">
        <v>464</v>
      </c>
      <c r="O47" s="42">
        <v>3815</v>
      </c>
      <c r="P47" s="42">
        <f>ROUND(37920150/1000,0)</f>
        <v>37920</v>
      </c>
      <c r="Q47" s="64">
        <v>-18005</v>
      </c>
      <c r="R47" s="64">
        <v>-971418</v>
      </c>
      <c r="S47" s="64">
        <f>ROUND(646584184/1000,0)</f>
        <v>646584</v>
      </c>
      <c r="T47" s="38">
        <f>R22+U22+D47+J47+N47</f>
        <v>880220</v>
      </c>
      <c r="U47" s="38">
        <f>S22+V22+E47+O47</f>
        <v>1427474</v>
      </c>
      <c r="V47" s="38">
        <f>T22+W22+F47+K47+P47+S47</f>
        <v>20366907</v>
      </c>
      <c r="W47" s="43">
        <f>ROUND(15005241611/1000,0)</f>
        <v>15005242</v>
      </c>
    </row>
    <row r="48" spans="2:23" s="9" customFormat="1" ht="15" customHeight="1">
      <c r="B48" s="122"/>
      <c r="C48" s="44">
        <v>-2007</v>
      </c>
      <c r="D48" s="45">
        <v>41646</v>
      </c>
      <c r="E48" s="46">
        <v>110512</v>
      </c>
      <c r="F48" s="46">
        <f>ROUND(870581870/1000,0)</f>
        <v>870582</v>
      </c>
      <c r="G48" s="65" t="s">
        <v>30</v>
      </c>
      <c r="H48" s="65" t="s">
        <v>30</v>
      </c>
      <c r="I48" s="65" t="s">
        <v>30</v>
      </c>
      <c r="J48" s="46">
        <v>350752</v>
      </c>
      <c r="K48" s="48">
        <f>ROUNDDOWN(5227970505/1000,0)</f>
        <v>5227970</v>
      </c>
      <c r="L48" s="63"/>
      <c r="M48" s="63"/>
      <c r="N48" s="66">
        <v>1386</v>
      </c>
      <c r="O48" s="67">
        <v>9493</v>
      </c>
      <c r="P48" s="67">
        <f>ROUNDDOWN(90189500/1000,0)</f>
        <v>90189</v>
      </c>
      <c r="Q48" s="68">
        <v>-32300</v>
      </c>
      <c r="R48" s="68">
        <v>-1697485</v>
      </c>
      <c r="S48" s="68">
        <f>ROUND(1170773652/1000,0)</f>
        <v>1170774</v>
      </c>
      <c r="T48" s="38">
        <f>R23+U23+D48+J48+N48</f>
        <v>987255</v>
      </c>
      <c r="U48" s="38">
        <f>S23+V23+E48+O48</f>
        <v>1970725</v>
      </c>
      <c r="V48" s="38">
        <f>T23+W23+F48+K48+P48+S48</f>
        <v>33169598</v>
      </c>
      <c r="W48" s="48">
        <f>ROUND(29493767526/1000,0)</f>
        <v>29493768</v>
      </c>
    </row>
    <row r="49" spans="2:23" s="9" customFormat="1" ht="15" customHeight="1">
      <c r="B49" s="123"/>
      <c r="C49" s="69"/>
      <c r="D49" s="50">
        <v>43838</v>
      </c>
      <c r="E49" s="51">
        <v>118843</v>
      </c>
      <c r="F49" s="51">
        <f>ROUNDDOWN(823237600/1000,0)</f>
        <v>823237</v>
      </c>
      <c r="G49" s="52" t="s">
        <v>30</v>
      </c>
      <c r="H49" s="52" t="s">
        <v>30</v>
      </c>
      <c r="I49" s="52" t="s">
        <v>30</v>
      </c>
      <c r="J49" s="51">
        <v>206036</v>
      </c>
      <c r="K49" s="56">
        <f>ROUND(2413358900/1000,0)</f>
        <v>2413359</v>
      </c>
      <c r="L49" s="63"/>
      <c r="M49" s="63"/>
      <c r="N49" s="54">
        <v>141</v>
      </c>
      <c r="O49" s="55">
        <v>1118</v>
      </c>
      <c r="P49" s="55">
        <f>ROUND(10253000/1000,0)</f>
        <v>10253</v>
      </c>
      <c r="Q49" s="70">
        <v>-8497</v>
      </c>
      <c r="R49" s="70">
        <v>-342053</v>
      </c>
      <c r="S49" s="70">
        <f>ROUND(231803765/1000,0)</f>
        <v>231804</v>
      </c>
      <c r="T49" s="51">
        <f>R24+U24+D49+J49+N49</f>
        <v>597921</v>
      </c>
      <c r="U49" s="51">
        <f>S24+V24+E49+O49</f>
        <v>852187</v>
      </c>
      <c r="V49" s="51">
        <f>T24+W24+F49+K49+P49+S49</f>
        <v>12372437</v>
      </c>
      <c r="W49" s="56">
        <f>ROUND(9590694419/1000,0)</f>
        <v>9590694</v>
      </c>
    </row>
    <row r="50" ht="13.5" customHeight="1">
      <c r="B50" s="1" t="s">
        <v>18</v>
      </c>
    </row>
    <row r="51" spans="2:7" ht="13.5" customHeight="1">
      <c r="B51" s="11" t="s">
        <v>19</v>
      </c>
      <c r="C51" s="11"/>
      <c r="D51" s="11"/>
      <c r="E51" s="11"/>
      <c r="G51" s="10"/>
    </row>
    <row r="52" spans="2:3" ht="13.5" customHeight="1">
      <c r="B52" s="1" t="s">
        <v>39</v>
      </c>
      <c r="C52" s="2"/>
    </row>
    <row r="53" ht="13.5" customHeight="1">
      <c r="C53" s="3"/>
    </row>
    <row r="54" spans="22:23" ht="13.5" customHeight="1">
      <c r="V54" s="2"/>
      <c r="W54" s="2"/>
    </row>
    <row r="55" ht="13.5" customHeight="1">
      <c r="W55" s="2"/>
    </row>
  </sheetData>
  <mergeCells count="98">
    <mergeCell ref="B44:B46"/>
    <mergeCell ref="B19:B21"/>
    <mergeCell ref="G19:G20"/>
    <mergeCell ref="J19:K19"/>
    <mergeCell ref="B35:B37"/>
    <mergeCell ref="B41:B43"/>
    <mergeCell ref="B32:B34"/>
    <mergeCell ref="D30:F30"/>
    <mergeCell ref="D29:K29"/>
    <mergeCell ref="G22:G23"/>
    <mergeCell ref="T28:W30"/>
    <mergeCell ref="B38:B40"/>
    <mergeCell ref="J12:K12"/>
    <mergeCell ref="J8:K8"/>
    <mergeCell ref="J14:K14"/>
    <mergeCell ref="N14:O14"/>
    <mergeCell ref="P14:Q14"/>
    <mergeCell ref="P9:Q9"/>
    <mergeCell ref="P15:Q15"/>
    <mergeCell ref="N15:O15"/>
    <mergeCell ref="N7:O7"/>
    <mergeCell ref="J15:K15"/>
    <mergeCell ref="G16:G17"/>
    <mergeCell ref="P8:Q8"/>
    <mergeCell ref="J10:K10"/>
    <mergeCell ref="J13:K13"/>
    <mergeCell ref="J9:K9"/>
    <mergeCell ref="P13:Q13"/>
    <mergeCell ref="N12:O12"/>
    <mergeCell ref="P12:Q12"/>
    <mergeCell ref="P10:Q10"/>
    <mergeCell ref="P11:Q11"/>
    <mergeCell ref="R4:W4"/>
    <mergeCell ref="P7:Q7"/>
    <mergeCell ref="I3:I5"/>
    <mergeCell ref="J6:K6"/>
    <mergeCell ref="J3:K5"/>
    <mergeCell ref="R3:W3"/>
    <mergeCell ref="N6:O6"/>
    <mergeCell ref="P6:Q6"/>
    <mergeCell ref="R5:T5"/>
    <mergeCell ref="U5:W5"/>
    <mergeCell ref="N3:Q5"/>
    <mergeCell ref="B47:B49"/>
    <mergeCell ref="B16:B18"/>
    <mergeCell ref="G30:I30"/>
    <mergeCell ref="N28:S28"/>
    <mergeCell ref="Q29:S30"/>
    <mergeCell ref="N29:P30"/>
    <mergeCell ref="J30:K30"/>
    <mergeCell ref="P18:Q18"/>
    <mergeCell ref="N24:O24"/>
    <mergeCell ref="J24:K24"/>
    <mergeCell ref="J7:K7"/>
    <mergeCell ref="P17:Q17"/>
    <mergeCell ref="J16:K16"/>
    <mergeCell ref="N8:O8"/>
    <mergeCell ref="N10:O10"/>
    <mergeCell ref="N11:O11"/>
    <mergeCell ref="N9:O9"/>
    <mergeCell ref="N13:O13"/>
    <mergeCell ref="P16:Q16"/>
    <mergeCell ref="N17:O17"/>
    <mergeCell ref="N23:O23"/>
    <mergeCell ref="J17:K17"/>
    <mergeCell ref="N16:O16"/>
    <mergeCell ref="J21:K21"/>
    <mergeCell ref="N22:O22"/>
    <mergeCell ref="N18:O18"/>
    <mergeCell ref="J20:K20"/>
    <mergeCell ref="N20:O20"/>
    <mergeCell ref="N21:O21"/>
    <mergeCell ref="N19:O19"/>
    <mergeCell ref="J11:K11"/>
    <mergeCell ref="P24:Q24"/>
    <mergeCell ref="P22:Q22"/>
    <mergeCell ref="P23:Q23"/>
    <mergeCell ref="J18:K18"/>
    <mergeCell ref="P19:Q19"/>
    <mergeCell ref="P20:Q20"/>
    <mergeCell ref="P21:Q21"/>
    <mergeCell ref="J22:K22"/>
    <mergeCell ref="J23:K23"/>
    <mergeCell ref="D28:K28"/>
    <mergeCell ref="F3:F5"/>
    <mergeCell ref="G3:G5"/>
    <mergeCell ref="B13:B15"/>
    <mergeCell ref="G13:G14"/>
    <mergeCell ref="B28:C31"/>
    <mergeCell ref="B3:C6"/>
    <mergeCell ref="H3:H5"/>
    <mergeCell ref="G10:G11"/>
    <mergeCell ref="G7:G8"/>
    <mergeCell ref="B22:B24"/>
    <mergeCell ref="D3:D5"/>
    <mergeCell ref="E3:E5"/>
    <mergeCell ref="B10:B12"/>
    <mergeCell ref="B7:B9"/>
  </mergeCells>
  <printOptions/>
  <pageMargins left="0.5511811023622047" right="0.1968503937007874" top="0.2755905511811024" bottom="0.2362204724409449" header="0.1968503937007874" footer="0.1968503937007874"/>
  <pageSetup cellComments="asDisplayed" fitToHeight="1" fitToWidth="1" horizontalDpi="600" verticalDpi="600" orientation="landscape" pageOrder="overThenDown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view="pageBreakPreview" zoomScale="85" zoomScaleSheetLayoutView="85" workbookViewId="0" topLeftCell="A1">
      <selection activeCell="G21" sqref="G21"/>
    </sheetView>
  </sheetViews>
  <sheetFormatPr defaultColWidth="9.00390625" defaultRowHeight="15" customHeight="1"/>
  <cols>
    <col min="1" max="1" width="1.625" style="121" customWidth="1"/>
    <col min="2" max="2" width="10.00390625" style="121" customWidth="1"/>
    <col min="3" max="3" width="6.25390625" style="121" bestFit="1" customWidth="1"/>
    <col min="4" max="10" width="10.375" style="121" customWidth="1"/>
    <col min="11" max="12" width="1.625" style="121" customWidth="1"/>
    <col min="13" max="13" width="8.375" style="121" customWidth="1"/>
    <col min="14" max="15" width="6.375" style="121" customWidth="1"/>
    <col min="16" max="16" width="9.25390625" style="121" customWidth="1"/>
    <col min="17" max="17" width="6.375" style="121" customWidth="1"/>
    <col min="18" max="18" width="9.25390625" style="121" customWidth="1"/>
    <col min="19" max="19" width="6.00390625" style="121" customWidth="1"/>
    <col min="20" max="20" width="8.875" style="121" customWidth="1"/>
    <col min="21" max="21" width="6.375" style="121" customWidth="1"/>
    <col min="22" max="22" width="7.375" style="121" customWidth="1"/>
    <col min="23" max="23" width="6.25390625" style="121" customWidth="1"/>
    <col min="24" max="24" width="7.375" style="121" customWidth="1"/>
    <col min="25" max="25" width="1.625" style="121" customWidth="1"/>
    <col min="26" max="16384" width="9.00390625" style="121" customWidth="1"/>
  </cols>
  <sheetData>
    <row r="1" spans="1:24" s="4" customFormat="1" ht="18" customHeight="1">
      <c r="A1" s="77"/>
      <c r="B1" s="77"/>
      <c r="C1" s="77"/>
      <c r="D1" s="77"/>
      <c r="E1" s="77"/>
      <c r="F1" s="77"/>
      <c r="G1" s="77"/>
      <c r="H1" s="77"/>
      <c r="I1" s="77"/>
      <c r="J1" s="72" t="s">
        <v>43</v>
      </c>
      <c r="K1" s="72"/>
      <c r="L1" s="72"/>
      <c r="M1" s="71" t="s">
        <v>60</v>
      </c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s="1" customFormat="1" ht="15.75" customHeight="1" thickBot="1">
      <c r="A2" s="11"/>
      <c r="B2" s="11" t="s">
        <v>0</v>
      </c>
      <c r="C2" s="11"/>
      <c r="D2" s="11"/>
      <c r="E2" s="11"/>
      <c r="F2" s="11"/>
      <c r="G2" s="11"/>
      <c r="H2" s="11"/>
      <c r="I2" s="78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5" customFormat="1" ht="18" customHeight="1" thickTop="1">
      <c r="A3" s="79"/>
      <c r="B3" s="134" t="s">
        <v>1</v>
      </c>
      <c r="C3" s="135"/>
      <c r="D3" s="153" t="s">
        <v>44</v>
      </c>
      <c r="E3" s="154"/>
      <c r="F3" s="154"/>
      <c r="G3" s="154"/>
      <c r="H3" s="154"/>
      <c r="I3" s="154"/>
      <c r="J3" s="178"/>
      <c r="K3" s="80"/>
      <c r="L3" s="80"/>
      <c r="M3" s="158" t="s">
        <v>61</v>
      </c>
      <c r="N3" s="134"/>
      <c r="O3" s="134"/>
      <c r="P3" s="134"/>
      <c r="Q3" s="134"/>
      <c r="R3" s="135"/>
      <c r="S3" s="158" t="s">
        <v>45</v>
      </c>
      <c r="T3" s="134"/>
      <c r="U3" s="135"/>
      <c r="V3" s="158" t="s">
        <v>46</v>
      </c>
      <c r="W3" s="134"/>
      <c r="X3" s="134"/>
    </row>
    <row r="4" spans="1:24" s="5" customFormat="1" ht="18" customHeight="1">
      <c r="A4" s="79"/>
      <c r="B4" s="127"/>
      <c r="C4" s="136"/>
      <c r="D4" s="179" t="s">
        <v>47</v>
      </c>
      <c r="E4" s="127"/>
      <c r="F4" s="136"/>
      <c r="G4" s="179" t="s">
        <v>48</v>
      </c>
      <c r="H4" s="136"/>
      <c r="I4" s="179" t="s">
        <v>49</v>
      </c>
      <c r="J4" s="136"/>
      <c r="K4" s="81"/>
      <c r="L4" s="81"/>
      <c r="M4" s="159"/>
      <c r="N4" s="127"/>
      <c r="O4" s="127"/>
      <c r="P4" s="127"/>
      <c r="Q4" s="127"/>
      <c r="R4" s="136"/>
      <c r="S4" s="159"/>
      <c r="T4" s="127"/>
      <c r="U4" s="136"/>
      <c r="V4" s="159"/>
      <c r="W4" s="127"/>
      <c r="X4" s="127"/>
    </row>
    <row r="5" spans="1:24" s="5" customFormat="1" ht="18" customHeight="1">
      <c r="A5" s="79"/>
      <c r="B5" s="127"/>
      <c r="C5" s="136"/>
      <c r="D5" s="143"/>
      <c r="E5" s="128"/>
      <c r="F5" s="137"/>
      <c r="G5" s="143"/>
      <c r="H5" s="137"/>
      <c r="I5" s="143"/>
      <c r="J5" s="137"/>
      <c r="K5" s="81"/>
      <c r="L5" s="81"/>
      <c r="M5" s="143"/>
      <c r="N5" s="128"/>
      <c r="O5" s="128"/>
      <c r="P5" s="128"/>
      <c r="Q5" s="128"/>
      <c r="R5" s="137"/>
      <c r="S5" s="143"/>
      <c r="T5" s="128"/>
      <c r="U5" s="137"/>
      <c r="V5" s="143"/>
      <c r="W5" s="128"/>
      <c r="X5" s="128"/>
    </row>
    <row r="6" spans="1:24" s="5" customFormat="1" ht="18" customHeight="1">
      <c r="A6" s="79"/>
      <c r="B6" s="128"/>
      <c r="C6" s="137"/>
      <c r="D6" s="22" t="s">
        <v>2</v>
      </c>
      <c r="E6" s="155" t="s">
        <v>11</v>
      </c>
      <c r="F6" s="156"/>
      <c r="G6" s="22" t="s">
        <v>2</v>
      </c>
      <c r="H6" s="82" t="s">
        <v>50</v>
      </c>
      <c r="I6" s="23" t="s">
        <v>2</v>
      </c>
      <c r="J6" s="23" t="s">
        <v>11</v>
      </c>
      <c r="K6" s="81"/>
      <c r="L6" s="81"/>
      <c r="M6" s="155" t="s">
        <v>2</v>
      </c>
      <c r="N6" s="156"/>
      <c r="O6" s="155" t="s">
        <v>11</v>
      </c>
      <c r="P6" s="156"/>
      <c r="Q6" s="170" t="s">
        <v>50</v>
      </c>
      <c r="R6" s="171"/>
      <c r="S6" s="23" t="s">
        <v>2</v>
      </c>
      <c r="T6" s="172" t="s">
        <v>51</v>
      </c>
      <c r="U6" s="172"/>
      <c r="V6" s="23" t="s">
        <v>52</v>
      </c>
      <c r="W6" s="172" t="s">
        <v>51</v>
      </c>
      <c r="X6" s="155"/>
    </row>
    <row r="7" spans="1:24" s="5" customFormat="1" ht="15.75" customHeight="1">
      <c r="A7" s="79"/>
      <c r="B7" s="166" t="s">
        <v>53</v>
      </c>
      <c r="C7" s="83"/>
      <c r="D7" s="92">
        <v>12207</v>
      </c>
      <c r="E7" s="177">
        <v>121203</v>
      </c>
      <c r="F7" s="177"/>
      <c r="G7" s="12">
        <v>-1195</v>
      </c>
      <c r="H7" s="93">
        <v>2915</v>
      </c>
      <c r="I7" s="15" t="s">
        <v>27</v>
      </c>
      <c r="J7" s="15" t="s">
        <v>27</v>
      </c>
      <c r="K7" s="81"/>
      <c r="L7" s="81"/>
      <c r="M7" s="164">
        <v>12207</v>
      </c>
      <c r="N7" s="164"/>
      <c r="O7" s="164">
        <v>121203</v>
      </c>
      <c r="P7" s="164"/>
      <c r="Q7" s="164">
        <v>87669</v>
      </c>
      <c r="R7" s="164"/>
      <c r="S7" s="94">
        <v>487</v>
      </c>
      <c r="T7" s="139">
        <v>146100</v>
      </c>
      <c r="U7" s="139"/>
      <c r="V7" s="93">
        <v>1782</v>
      </c>
      <c r="W7" s="139">
        <v>53460</v>
      </c>
      <c r="X7" s="139"/>
    </row>
    <row r="8" spans="1:24" s="5" customFormat="1" ht="15.75" customHeight="1">
      <c r="A8" s="79"/>
      <c r="B8" s="166"/>
      <c r="C8" s="83" t="s">
        <v>54</v>
      </c>
      <c r="D8" s="92">
        <v>16946</v>
      </c>
      <c r="E8" s="177">
        <v>298629</v>
      </c>
      <c r="F8" s="177"/>
      <c r="G8" s="12">
        <v>-2681</v>
      </c>
      <c r="H8" s="93">
        <v>10324</v>
      </c>
      <c r="I8" s="15" t="s">
        <v>27</v>
      </c>
      <c r="J8" s="15" t="s">
        <v>27</v>
      </c>
      <c r="K8" s="81"/>
      <c r="L8" s="81"/>
      <c r="M8" s="164">
        <v>16946</v>
      </c>
      <c r="N8" s="164"/>
      <c r="O8" s="164">
        <v>298629</v>
      </c>
      <c r="P8" s="164"/>
      <c r="Q8" s="164">
        <v>289416</v>
      </c>
      <c r="R8" s="164"/>
      <c r="S8" s="94" t="s">
        <v>27</v>
      </c>
      <c r="T8" s="139" t="s">
        <v>27</v>
      </c>
      <c r="U8" s="139"/>
      <c r="V8" s="93" t="s">
        <v>27</v>
      </c>
      <c r="W8" s="139" t="s">
        <v>27</v>
      </c>
      <c r="X8" s="139"/>
    </row>
    <row r="9" spans="1:24" s="5" customFormat="1" ht="15.75" customHeight="1">
      <c r="A9" s="79"/>
      <c r="B9" s="166"/>
      <c r="C9" s="83"/>
      <c r="D9" s="92">
        <v>4436</v>
      </c>
      <c r="E9" s="177">
        <v>47299</v>
      </c>
      <c r="F9" s="177"/>
      <c r="G9" s="12">
        <v>-421</v>
      </c>
      <c r="H9" s="93">
        <v>1016</v>
      </c>
      <c r="I9" s="15" t="s">
        <v>27</v>
      </c>
      <c r="J9" s="15" t="s">
        <v>27</v>
      </c>
      <c r="K9" s="81"/>
      <c r="L9" s="81"/>
      <c r="M9" s="164">
        <v>4436</v>
      </c>
      <c r="N9" s="164"/>
      <c r="O9" s="164">
        <v>47299</v>
      </c>
      <c r="P9" s="164"/>
      <c r="Q9" s="164">
        <v>37245</v>
      </c>
      <c r="R9" s="164"/>
      <c r="S9" s="94" t="s">
        <v>27</v>
      </c>
      <c r="T9" s="139" t="s">
        <v>27</v>
      </c>
      <c r="U9" s="139"/>
      <c r="V9" s="93" t="s">
        <v>27</v>
      </c>
      <c r="W9" s="139" t="s">
        <v>27</v>
      </c>
      <c r="X9" s="139"/>
    </row>
    <row r="10" spans="1:24" s="5" customFormat="1" ht="15.75" customHeight="1">
      <c r="A10" s="79"/>
      <c r="B10" s="165">
        <v>15</v>
      </c>
      <c r="C10" s="95"/>
      <c r="D10" s="92">
        <v>14306</v>
      </c>
      <c r="E10" s="177">
        <v>144630</v>
      </c>
      <c r="F10" s="177"/>
      <c r="G10" s="12">
        <v>-1323</v>
      </c>
      <c r="H10" s="15">
        <v>3079</v>
      </c>
      <c r="I10" s="15" t="s">
        <v>27</v>
      </c>
      <c r="J10" s="15" t="s">
        <v>27</v>
      </c>
      <c r="K10" s="81"/>
      <c r="L10" s="81"/>
      <c r="M10" s="164">
        <v>14306</v>
      </c>
      <c r="N10" s="164"/>
      <c r="O10" s="164">
        <v>144630</v>
      </c>
      <c r="P10" s="164"/>
      <c r="Q10" s="164">
        <v>105814</v>
      </c>
      <c r="R10" s="164"/>
      <c r="S10" s="94">
        <v>521</v>
      </c>
      <c r="T10" s="139">
        <v>156300</v>
      </c>
      <c r="U10" s="139"/>
      <c r="V10" s="93">
        <v>1883</v>
      </c>
      <c r="W10" s="139">
        <v>56490</v>
      </c>
      <c r="X10" s="139"/>
    </row>
    <row r="11" spans="1:24" s="5" customFormat="1" ht="15.75" customHeight="1">
      <c r="A11" s="79"/>
      <c r="B11" s="166"/>
      <c r="C11" s="83" t="s">
        <v>55</v>
      </c>
      <c r="D11" s="92">
        <v>18022</v>
      </c>
      <c r="E11" s="168">
        <v>312256</v>
      </c>
      <c r="F11" s="168"/>
      <c r="G11" s="12">
        <v>-2765</v>
      </c>
      <c r="H11" s="15">
        <v>13119</v>
      </c>
      <c r="I11" s="15" t="s">
        <v>27</v>
      </c>
      <c r="J11" s="15" t="s">
        <v>27</v>
      </c>
      <c r="K11" s="81"/>
      <c r="L11" s="81"/>
      <c r="M11" s="164">
        <v>18022</v>
      </c>
      <c r="N11" s="164"/>
      <c r="O11" s="164">
        <v>312256</v>
      </c>
      <c r="P11" s="164"/>
      <c r="Q11" s="164">
        <v>295812</v>
      </c>
      <c r="R11" s="164"/>
      <c r="S11" s="94" t="s">
        <v>27</v>
      </c>
      <c r="T11" s="139" t="s">
        <v>27</v>
      </c>
      <c r="U11" s="139"/>
      <c r="V11" s="93" t="s">
        <v>27</v>
      </c>
      <c r="W11" s="139" t="s">
        <v>27</v>
      </c>
      <c r="X11" s="139"/>
    </row>
    <row r="12" spans="1:24" s="5" customFormat="1" ht="15.75" customHeight="1">
      <c r="A12" s="79"/>
      <c r="B12" s="167"/>
      <c r="C12" s="97"/>
      <c r="D12" s="92">
        <v>5644</v>
      </c>
      <c r="E12" s="168">
        <v>59460</v>
      </c>
      <c r="F12" s="168"/>
      <c r="G12" s="12">
        <v>-497</v>
      </c>
      <c r="H12" s="15">
        <v>1051</v>
      </c>
      <c r="I12" s="15" t="s">
        <v>27</v>
      </c>
      <c r="J12" s="15" t="s">
        <v>27</v>
      </c>
      <c r="K12" s="81"/>
      <c r="L12" s="81"/>
      <c r="M12" s="164">
        <v>5644</v>
      </c>
      <c r="N12" s="164"/>
      <c r="O12" s="164">
        <v>59460</v>
      </c>
      <c r="P12" s="164"/>
      <c r="Q12" s="164">
        <v>44464</v>
      </c>
      <c r="R12" s="164"/>
      <c r="S12" s="94" t="s">
        <v>27</v>
      </c>
      <c r="T12" s="139" t="s">
        <v>27</v>
      </c>
      <c r="U12" s="139"/>
      <c r="V12" s="93" t="s">
        <v>27</v>
      </c>
      <c r="W12" s="139" t="s">
        <v>27</v>
      </c>
      <c r="X12" s="139"/>
    </row>
    <row r="13" spans="1:24" s="5" customFormat="1" ht="15.75" customHeight="1">
      <c r="A13" s="79"/>
      <c r="B13" s="166">
        <v>16</v>
      </c>
      <c r="C13" s="83"/>
      <c r="D13" s="98">
        <v>15797</v>
      </c>
      <c r="E13" s="168">
        <v>168804</v>
      </c>
      <c r="F13" s="168"/>
      <c r="G13" s="12">
        <v>-1380</v>
      </c>
      <c r="H13" s="12">
        <v>3665</v>
      </c>
      <c r="I13" s="15" t="s">
        <v>27</v>
      </c>
      <c r="J13" s="15" t="s">
        <v>27</v>
      </c>
      <c r="K13" s="81"/>
      <c r="L13" s="81"/>
      <c r="M13" s="164">
        <v>15797</v>
      </c>
      <c r="N13" s="164"/>
      <c r="O13" s="164">
        <v>168804</v>
      </c>
      <c r="P13" s="164"/>
      <c r="Q13" s="164">
        <v>125385</v>
      </c>
      <c r="R13" s="164"/>
      <c r="S13" s="15">
        <v>517</v>
      </c>
      <c r="T13" s="139">
        <v>155100</v>
      </c>
      <c r="U13" s="139"/>
      <c r="V13" s="15">
        <v>2015</v>
      </c>
      <c r="W13" s="139">
        <v>60450</v>
      </c>
      <c r="X13" s="139"/>
    </row>
    <row r="14" spans="1:24" s="5" customFormat="1" ht="15.75" customHeight="1">
      <c r="A14" s="79"/>
      <c r="B14" s="166"/>
      <c r="C14" s="83" t="s">
        <v>56</v>
      </c>
      <c r="D14" s="98">
        <v>19404</v>
      </c>
      <c r="E14" s="168">
        <v>325663</v>
      </c>
      <c r="F14" s="168"/>
      <c r="G14" s="12">
        <v>-1730</v>
      </c>
      <c r="H14" s="12">
        <v>9152</v>
      </c>
      <c r="I14" s="15" t="s">
        <v>27</v>
      </c>
      <c r="J14" s="15" t="s">
        <v>27</v>
      </c>
      <c r="K14" s="81"/>
      <c r="L14" s="81"/>
      <c r="M14" s="164">
        <v>19404</v>
      </c>
      <c r="N14" s="164"/>
      <c r="O14" s="164">
        <v>325663</v>
      </c>
      <c r="P14" s="164"/>
      <c r="Q14" s="164">
        <v>301816</v>
      </c>
      <c r="R14" s="164"/>
      <c r="S14" s="15" t="s">
        <v>27</v>
      </c>
      <c r="T14" s="139" t="s">
        <v>27</v>
      </c>
      <c r="U14" s="139"/>
      <c r="V14" s="15" t="s">
        <v>27</v>
      </c>
      <c r="W14" s="139" t="s">
        <v>27</v>
      </c>
      <c r="X14" s="139"/>
    </row>
    <row r="15" spans="1:24" s="5" customFormat="1" ht="15.75" customHeight="1">
      <c r="A15" s="79"/>
      <c r="B15" s="167"/>
      <c r="C15" s="73"/>
      <c r="D15" s="98">
        <v>6857</v>
      </c>
      <c r="E15" s="168">
        <v>68078</v>
      </c>
      <c r="F15" s="168"/>
      <c r="G15" s="12">
        <v>-626</v>
      </c>
      <c r="H15" s="12">
        <v>1289</v>
      </c>
      <c r="I15" s="15" t="s">
        <v>27</v>
      </c>
      <c r="J15" s="15" t="s">
        <v>27</v>
      </c>
      <c r="K15" s="81"/>
      <c r="L15" s="81"/>
      <c r="M15" s="164">
        <v>6857</v>
      </c>
      <c r="N15" s="164"/>
      <c r="O15" s="164">
        <v>68078</v>
      </c>
      <c r="P15" s="164"/>
      <c r="Q15" s="164">
        <v>51543</v>
      </c>
      <c r="R15" s="164"/>
      <c r="S15" s="15" t="s">
        <v>27</v>
      </c>
      <c r="T15" s="139" t="s">
        <v>27</v>
      </c>
      <c r="U15" s="139"/>
      <c r="V15" s="15" t="s">
        <v>27</v>
      </c>
      <c r="W15" s="139" t="s">
        <v>27</v>
      </c>
      <c r="X15" s="139"/>
    </row>
    <row r="16" spans="1:24" s="7" customFormat="1" ht="15.75" customHeight="1">
      <c r="A16" s="81"/>
      <c r="B16" s="165">
        <v>17</v>
      </c>
      <c r="C16" s="99"/>
      <c r="D16" s="98">
        <v>17081</v>
      </c>
      <c r="E16" s="168">
        <v>164745</v>
      </c>
      <c r="F16" s="168"/>
      <c r="G16" s="13">
        <v>-1605</v>
      </c>
      <c r="H16" s="13">
        <v>4467</v>
      </c>
      <c r="I16" s="15" t="s">
        <v>62</v>
      </c>
      <c r="J16" s="15" t="s">
        <v>62</v>
      </c>
      <c r="K16" s="81"/>
      <c r="L16" s="81"/>
      <c r="M16" s="164">
        <v>17081</v>
      </c>
      <c r="N16" s="164"/>
      <c r="O16" s="164">
        <v>164745</v>
      </c>
      <c r="P16" s="164"/>
      <c r="Q16" s="164">
        <v>125665</v>
      </c>
      <c r="R16" s="164"/>
      <c r="S16" s="15">
        <v>490</v>
      </c>
      <c r="T16" s="139">
        <v>147000</v>
      </c>
      <c r="U16" s="139"/>
      <c r="V16" s="15">
        <v>2147</v>
      </c>
      <c r="W16" s="139">
        <v>64410</v>
      </c>
      <c r="X16" s="139"/>
    </row>
    <row r="17" spans="1:24" s="7" customFormat="1" ht="15.75" customHeight="1">
      <c r="A17" s="81"/>
      <c r="B17" s="166"/>
      <c r="C17" s="100" t="s">
        <v>63</v>
      </c>
      <c r="D17" s="98">
        <v>18892</v>
      </c>
      <c r="E17" s="168">
        <v>303402</v>
      </c>
      <c r="F17" s="168"/>
      <c r="G17" s="13">
        <v>-2151</v>
      </c>
      <c r="H17" s="13">
        <v>11953</v>
      </c>
      <c r="I17" s="15" t="s">
        <v>62</v>
      </c>
      <c r="J17" s="15" t="s">
        <v>62</v>
      </c>
      <c r="K17" s="81"/>
      <c r="L17" s="81"/>
      <c r="M17" s="164">
        <v>18892</v>
      </c>
      <c r="N17" s="164"/>
      <c r="O17" s="164">
        <v>303402</v>
      </c>
      <c r="P17" s="164"/>
      <c r="Q17" s="164">
        <v>281029</v>
      </c>
      <c r="R17" s="164"/>
      <c r="S17" s="15" t="s">
        <v>62</v>
      </c>
      <c r="T17" s="139" t="s">
        <v>62</v>
      </c>
      <c r="U17" s="139"/>
      <c r="V17" s="15" t="s">
        <v>62</v>
      </c>
      <c r="W17" s="139" t="s">
        <v>62</v>
      </c>
      <c r="X17" s="139"/>
    </row>
    <row r="18" spans="1:24" s="7" customFormat="1" ht="15.75" customHeight="1">
      <c r="A18" s="81"/>
      <c r="B18" s="167"/>
      <c r="C18" s="96"/>
      <c r="D18" s="98">
        <v>8558</v>
      </c>
      <c r="E18" s="168">
        <v>81220</v>
      </c>
      <c r="F18" s="168"/>
      <c r="G18" s="13">
        <v>-710</v>
      </c>
      <c r="H18" s="13">
        <v>1421</v>
      </c>
      <c r="I18" s="15" t="s">
        <v>62</v>
      </c>
      <c r="J18" s="15" t="s">
        <v>62</v>
      </c>
      <c r="K18" s="81"/>
      <c r="L18" s="81"/>
      <c r="M18" s="164">
        <v>8558</v>
      </c>
      <c r="N18" s="164"/>
      <c r="O18" s="164">
        <v>81220</v>
      </c>
      <c r="P18" s="164"/>
      <c r="Q18" s="164">
        <v>62543</v>
      </c>
      <c r="R18" s="164"/>
      <c r="S18" s="15" t="s">
        <v>62</v>
      </c>
      <c r="T18" s="139" t="s">
        <v>62</v>
      </c>
      <c r="U18" s="139"/>
      <c r="V18" s="15" t="s">
        <v>62</v>
      </c>
      <c r="W18" s="139" t="s">
        <v>62</v>
      </c>
      <c r="X18" s="139"/>
    </row>
    <row r="19" spans="1:24" s="5" customFormat="1" ht="15.75" customHeight="1">
      <c r="A19" s="79"/>
      <c r="B19" s="165">
        <v>18</v>
      </c>
      <c r="C19" s="99"/>
      <c r="D19" s="98">
        <v>18378</v>
      </c>
      <c r="E19" s="168">
        <v>173784</v>
      </c>
      <c r="F19" s="168"/>
      <c r="G19" s="13">
        <v>-1432</v>
      </c>
      <c r="H19" s="13">
        <v>3834</v>
      </c>
      <c r="I19" s="15" t="s">
        <v>62</v>
      </c>
      <c r="J19" s="15" t="s">
        <v>62</v>
      </c>
      <c r="K19" s="81"/>
      <c r="L19" s="81"/>
      <c r="M19" s="164">
        <v>18378</v>
      </c>
      <c r="N19" s="164"/>
      <c r="O19" s="164">
        <v>173784</v>
      </c>
      <c r="P19" s="164"/>
      <c r="Q19" s="164">
        <v>132756</v>
      </c>
      <c r="R19" s="164"/>
      <c r="S19" s="15">
        <v>421</v>
      </c>
      <c r="T19" s="139">
        <v>136650</v>
      </c>
      <c r="U19" s="139"/>
      <c r="V19" s="15">
        <v>2179</v>
      </c>
      <c r="W19" s="139">
        <v>65370</v>
      </c>
      <c r="X19" s="139"/>
    </row>
    <row r="20" spans="1:24" s="5" customFormat="1" ht="15.75" customHeight="1">
      <c r="A20" s="79"/>
      <c r="B20" s="166"/>
      <c r="C20" s="83" t="s">
        <v>64</v>
      </c>
      <c r="D20" s="98">
        <v>18594</v>
      </c>
      <c r="E20" s="168">
        <v>335065</v>
      </c>
      <c r="F20" s="168"/>
      <c r="G20" s="13">
        <v>-1790</v>
      </c>
      <c r="H20" s="13">
        <v>10355</v>
      </c>
      <c r="I20" s="15" t="s">
        <v>62</v>
      </c>
      <c r="J20" s="15" t="s">
        <v>62</v>
      </c>
      <c r="K20" s="81"/>
      <c r="L20" s="81"/>
      <c r="M20" s="164">
        <v>18594</v>
      </c>
      <c r="N20" s="164"/>
      <c r="O20" s="164">
        <v>335065</v>
      </c>
      <c r="P20" s="164"/>
      <c r="Q20" s="164">
        <v>310126</v>
      </c>
      <c r="R20" s="164"/>
      <c r="S20" s="15" t="s">
        <v>62</v>
      </c>
      <c r="T20" s="139" t="s">
        <v>62</v>
      </c>
      <c r="U20" s="139"/>
      <c r="V20" s="15" t="s">
        <v>62</v>
      </c>
      <c r="W20" s="139" t="s">
        <v>62</v>
      </c>
      <c r="X20" s="139"/>
    </row>
    <row r="21" spans="1:24" s="5" customFormat="1" ht="15.75" customHeight="1">
      <c r="A21" s="79"/>
      <c r="B21" s="167"/>
      <c r="C21" s="101"/>
      <c r="D21" s="98">
        <v>10001</v>
      </c>
      <c r="E21" s="168">
        <v>95097</v>
      </c>
      <c r="F21" s="168"/>
      <c r="G21" s="13">
        <v>-568</v>
      </c>
      <c r="H21" s="13">
        <v>1214</v>
      </c>
      <c r="I21" s="15" t="s">
        <v>62</v>
      </c>
      <c r="J21" s="15" t="s">
        <v>62</v>
      </c>
      <c r="K21" s="81"/>
      <c r="L21" s="81"/>
      <c r="M21" s="164">
        <v>10001</v>
      </c>
      <c r="N21" s="164"/>
      <c r="O21" s="164">
        <v>95097</v>
      </c>
      <c r="P21" s="164"/>
      <c r="Q21" s="164">
        <v>74155</v>
      </c>
      <c r="R21" s="164"/>
      <c r="S21" s="15" t="s">
        <v>62</v>
      </c>
      <c r="T21" s="139" t="s">
        <v>62</v>
      </c>
      <c r="U21" s="139"/>
      <c r="V21" s="15" t="s">
        <v>62</v>
      </c>
      <c r="W21" s="139" t="s">
        <v>62</v>
      </c>
      <c r="X21" s="139"/>
    </row>
    <row r="22" spans="1:24" s="9" customFormat="1" ht="15.75" customHeight="1">
      <c r="A22" s="102"/>
      <c r="B22" s="180">
        <v>19</v>
      </c>
      <c r="C22" s="103"/>
      <c r="D22" s="104">
        <v>19639</v>
      </c>
      <c r="E22" s="183">
        <f>ROUND(188228409/1000,0)</f>
        <v>188228</v>
      </c>
      <c r="F22" s="183"/>
      <c r="G22" s="105">
        <v>-1227</v>
      </c>
      <c r="H22" s="105">
        <f>ROUND(4038790/1000,0)</f>
        <v>4039</v>
      </c>
      <c r="I22" s="42" t="s">
        <v>30</v>
      </c>
      <c r="J22" s="106" t="s">
        <v>30</v>
      </c>
      <c r="K22" s="107"/>
      <c r="L22" s="107"/>
      <c r="M22" s="174">
        <f>D22</f>
        <v>19639</v>
      </c>
      <c r="N22" s="175"/>
      <c r="O22" s="175">
        <f>E22</f>
        <v>188228</v>
      </c>
      <c r="P22" s="175"/>
      <c r="Q22" s="175">
        <f>ROUND((4038790+139893233)/1000,0)</f>
        <v>143932</v>
      </c>
      <c r="R22" s="175"/>
      <c r="S22" s="42">
        <v>445</v>
      </c>
      <c r="T22" s="85">
        <v>155700</v>
      </c>
      <c r="U22" s="85"/>
      <c r="V22" s="42">
        <v>2209</v>
      </c>
      <c r="W22" s="85">
        <v>66270</v>
      </c>
      <c r="X22" s="86"/>
    </row>
    <row r="23" spans="1:24" s="9" customFormat="1" ht="15.75" customHeight="1">
      <c r="A23" s="102"/>
      <c r="B23" s="181"/>
      <c r="C23" s="108" t="s">
        <v>57</v>
      </c>
      <c r="D23" s="109">
        <v>20308</v>
      </c>
      <c r="E23" s="184">
        <f>ROUND(353213133/1000,0)</f>
        <v>353213</v>
      </c>
      <c r="F23" s="184"/>
      <c r="G23" s="110">
        <v>-1478</v>
      </c>
      <c r="H23" s="110">
        <f>ROUND(9266960/1000,0)</f>
        <v>9267</v>
      </c>
      <c r="I23" s="67" t="s">
        <v>30</v>
      </c>
      <c r="J23" s="111" t="s">
        <v>30</v>
      </c>
      <c r="K23" s="107"/>
      <c r="L23" s="107"/>
      <c r="M23" s="174">
        <f>D23</f>
        <v>20308</v>
      </c>
      <c r="N23" s="175"/>
      <c r="O23" s="175">
        <f>E23</f>
        <v>353213</v>
      </c>
      <c r="P23" s="175"/>
      <c r="Q23" s="169">
        <f>ROUND((9266960+316223477)/1000,0)</f>
        <v>325490</v>
      </c>
      <c r="R23" s="169"/>
      <c r="S23" s="67" t="s">
        <v>30</v>
      </c>
      <c r="T23" s="87" t="s">
        <v>30</v>
      </c>
      <c r="U23" s="87"/>
      <c r="V23" s="67" t="s">
        <v>30</v>
      </c>
      <c r="W23" s="87" t="s">
        <v>30</v>
      </c>
      <c r="X23" s="88"/>
    </row>
    <row r="24" spans="1:24" s="9" customFormat="1" ht="15.75" customHeight="1">
      <c r="A24" s="102"/>
      <c r="B24" s="182"/>
      <c r="C24" s="113"/>
      <c r="D24" s="114">
        <v>12149</v>
      </c>
      <c r="E24" s="185">
        <f>ROUND(120615044/1000,0)</f>
        <v>120615</v>
      </c>
      <c r="F24" s="185"/>
      <c r="G24" s="115">
        <v>-439</v>
      </c>
      <c r="H24" s="115">
        <f>ROUND(1094680/1000,0)</f>
        <v>1095</v>
      </c>
      <c r="I24" s="55" t="s">
        <v>30</v>
      </c>
      <c r="J24" s="116" t="s">
        <v>30</v>
      </c>
      <c r="K24" s="107"/>
      <c r="L24" s="107"/>
      <c r="M24" s="176">
        <f>D24</f>
        <v>12149</v>
      </c>
      <c r="N24" s="173"/>
      <c r="O24" s="173">
        <f>E24</f>
        <v>120615</v>
      </c>
      <c r="P24" s="173"/>
      <c r="Q24" s="173">
        <f>ROUND((1094680+93580459)/1000,0)</f>
        <v>94675</v>
      </c>
      <c r="R24" s="173"/>
      <c r="S24" s="55" t="s">
        <v>30</v>
      </c>
      <c r="T24" s="145" t="s">
        <v>30</v>
      </c>
      <c r="U24" s="145"/>
      <c r="V24" s="55" t="s">
        <v>30</v>
      </c>
      <c r="W24" s="145" t="s">
        <v>30</v>
      </c>
      <c r="X24" s="146"/>
    </row>
    <row r="25" spans="1:24" s="1" customFormat="1" ht="15.75" customHeight="1">
      <c r="A25" s="11"/>
      <c r="B25" s="117" t="s">
        <v>58</v>
      </c>
      <c r="C25" s="118"/>
      <c r="D25" s="119"/>
      <c r="E25" s="11"/>
      <c r="F25" s="11"/>
      <c r="G25" s="11"/>
      <c r="H25" s="11"/>
      <c r="I25" s="11"/>
      <c r="J25" s="11"/>
      <c r="K25" s="16"/>
      <c r="L25" s="16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20" t="s">
        <v>59</v>
      </c>
    </row>
    <row r="26" spans="1:24" s="1" customFormat="1" ht="15.75" customHeight="1">
      <c r="A26" s="11"/>
      <c r="B26" s="11"/>
      <c r="C26" s="11"/>
      <c r="D26" s="11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</sheetData>
  <mergeCells count="128">
    <mergeCell ref="O12:P12"/>
    <mergeCell ref="Q12:R12"/>
    <mergeCell ref="O13:P13"/>
    <mergeCell ref="O15:P15"/>
    <mergeCell ref="Q15:R15"/>
    <mergeCell ref="O14:P14"/>
    <mergeCell ref="Q14:R14"/>
    <mergeCell ref="W7:X7"/>
    <mergeCell ref="W14:X14"/>
    <mergeCell ref="W15:X15"/>
    <mergeCell ref="W16:X16"/>
    <mergeCell ref="W11:X11"/>
    <mergeCell ref="W22:X22"/>
    <mergeCell ref="W23:X23"/>
    <mergeCell ref="W24:X24"/>
    <mergeCell ref="W12:X12"/>
    <mergeCell ref="W13:X13"/>
    <mergeCell ref="W18:X18"/>
    <mergeCell ref="W17:X17"/>
    <mergeCell ref="W21:X21"/>
    <mergeCell ref="T12:U12"/>
    <mergeCell ref="W8:X8"/>
    <mergeCell ref="W9:X9"/>
    <mergeCell ref="W10:X10"/>
    <mergeCell ref="T24:U24"/>
    <mergeCell ref="T7:U7"/>
    <mergeCell ref="T8:U8"/>
    <mergeCell ref="T22:U22"/>
    <mergeCell ref="T23:U23"/>
    <mergeCell ref="T13:U13"/>
    <mergeCell ref="T14:U14"/>
    <mergeCell ref="T21:U21"/>
    <mergeCell ref="T10:U10"/>
    <mergeCell ref="T11:U11"/>
    <mergeCell ref="M8:N8"/>
    <mergeCell ref="T15:U15"/>
    <mergeCell ref="T9:U9"/>
    <mergeCell ref="O18:P18"/>
    <mergeCell ref="O16:P16"/>
    <mergeCell ref="Q16:R16"/>
    <mergeCell ref="Q13:R13"/>
    <mergeCell ref="O11:P11"/>
    <mergeCell ref="Q11:R11"/>
    <mergeCell ref="Q17:R17"/>
    <mergeCell ref="O8:P8"/>
    <mergeCell ref="Q8:R8"/>
    <mergeCell ref="O9:P9"/>
    <mergeCell ref="Q9:R9"/>
    <mergeCell ref="M14:N14"/>
    <mergeCell ref="M12:N12"/>
    <mergeCell ref="M13:N13"/>
    <mergeCell ref="M15:N15"/>
    <mergeCell ref="B22:B24"/>
    <mergeCell ref="E13:F13"/>
    <mergeCell ref="E14:F14"/>
    <mergeCell ref="E15:F15"/>
    <mergeCell ref="E16:F16"/>
    <mergeCell ref="B13:B15"/>
    <mergeCell ref="E20:F20"/>
    <mergeCell ref="E22:F22"/>
    <mergeCell ref="E23:F23"/>
    <mergeCell ref="E24:F24"/>
    <mergeCell ref="B7:B9"/>
    <mergeCell ref="E7:F7"/>
    <mergeCell ref="E8:F8"/>
    <mergeCell ref="E9:F9"/>
    <mergeCell ref="E10:F10"/>
    <mergeCell ref="E11:F11"/>
    <mergeCell ref="D3:J3"/>
    <mergeCell ref="D4:F5"/>
    <mergeCell ref="I4:J5"/>
    <mergeCell ref="G4:H5"/>
    <mergeCell ref="B16:B18"/>
    <mergeCell ref="M16:N16"/>
    <mergeCell ref="E17:F17"/>
    <mergeCell ref="E18:F18"/>
    <mergeCell ref="M17:N17"/>
    <mergeCell ref="M18:N18"/>
    <mergeCell ref="B10:B12"/>
    <mergeCell ref="E6:F6"/>
    <mergeCell ref="B3:C6"/>
    <mergeCell ref="W6:X6"/>
    <mergeCell ref="V3:X5"/>
    <mergeCell ref="M3:R5"/>
    <mergeCell ref="S3:U5"/>
    <mergeCell ref="M6:N6"/>
    <mergeCell ref="O6:P6"/>
    <mergeCell ref="E12:F12"/>
    <mergeCell ref="O24:P24"/>
    <mergeCell ref="Q24:R24"/>
    <mergeCell ref="M22:N22"/>
    <mergeCell ref="M23:N23"/>
    <mergeCell ref="M24:N24"/>
    <mergeCell ref="O22:P22"/>
    <mergeCell ref="Q22:R22"/>
    <mergeCell ref="O23:P23"/>
    <mergeCell ref="Q6:R6"/>
    <mergeCell ref="T6:U6"/>
    <mergeCell ref="M11:N11"/>
    <mergeCell ref="M9:N9"/>
    <mergeCell ref="M10:N10"/>
    <mergeCell ref="M7:N7"/>
    <mergeCell ref="O7:P7"/>
    <mergeCell ref="O10:P10"/>
    <mergeCell ref="Q10:R10"/>
    <mergeCell ref="Q7:R7"/>
    <mergeCell ref="T16:U16"/>
    <mergeCell ref="Q23:R23"/>
    <mergeCell ref="T18:U18"/>
    <mergeCell ref="T17:U17"/>
    <mergeCell ref="Q18:R18"/>
    <mergeCell ref="O17:P17"/>
    <mergeCell ref="Q21:R21"/>
    <mergeCell ref="B19:B21"/>
    <mergeCell ref="E19:F19"/>
    <mergeCell ref="M19:N19"/>
    <mergeCell ref="O19:P19"/>
    <mergeCell ref="E21:F21"/>
    <mergeCell ref="M21:N21"/>
    <mergeCell ref="O21:P21"/>
    <mergeCell ref="M20:N20"/>
    <mergeCell ref="O20:P20"/>
    <mergeCell ref="Q19:R19"/>
    <mergeCell ref="T19:U19"/>
    <mergeCell ref="W19:X19"/>
    <mergeCell ref="T20:U20"/>
    <mergeCell ref="W20:X20"/>
    <mergeCell ref="Q20:R20"/>
  </mergeCells>
  <printOptions horizontalCentered="1"/>
  <pageMargins left="0.2" right="0.2" top="0.5905511811023623" bottom="0.5905511811023623" header="0.5118110236220472" footer="0.5118110236220472"/>
  <pageSetup cellComments="asDisplayed"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2008-10-22T03:10:03Z</cp:lastPrinted>
  <dcterms:created xsi:type="dcterms:W3CDTF">1999-04-01T07:38:22Z</dcterms:created>
  <dcterms:modified xsi:type="dcterms:W3CDTF">2009-01-23T00:40:13Z</dcterms:modified>
  <cp:category/>
  <cp:version/>
  <cp:contentType/>
  <cp:contentStatus/>
</cp:coreProperties>
</file>